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S:\Street_Scene\Engineers\PROJECTS\Sidmouth Beach Management Scheme\OBC final\"/>
    </mc:Choice>
  </mc:AlternateContent>
  <xr:revisionPtr revIDLastSave="0" documentId="13_ncr:1_{1AEDBA29-5F62-4B9A-9E39-B50EB0BAC99F}" xr6:coauthVersionLast="47" xr6:coauthVersionMax="47" xr10:uidLastSave="{00000000-0000-0000-0000-000000000000}"/>
  <bookViews>
    <workbookView xWindow="-120" yWindow="-120" windowWidth="29040" windowHeight="15990" tabRatio="893" firstSheet="1" activeTab="1" xr2:uid="{10EB9345-65DD-4686-B7EE-71E8BCD03136}"/>
  </bookViews>
  <sheets>
    <sheet name="Future cost, inflation and risk" sheetId="8" r:id="rId1"/>
    <sheet name="Construction Costs_2022" sheetId="7" r:id="rId2"/>
    <sheet name="OBC Cost _Van Oord 2022" sheetId="13" r:id="rId3"/>
    <sheet name="OpAp PV Costs" sheetId="6" r:id="rId4"/>
    <sheet name="OBC PV Costs" sheetId="17" r:id="rId5"/>
    <sheet name="Preferred OBC PV" sheetId="26" r:id="rId6"/>
    <sheet name="Contributions" sheetId="27" r:id="rId7"/>
    <sheet name="Programme" sheetId="28" r:id="rId8"/>
    <sheet name="Construction costing wall " sheetId="18" r:id="rId9"/>
    <sheet name="update wall Feb21" sheetId="21" r:id="rId10"/>
    <sheet name="Re-nourishment-Recycling rates" sheetId="9" r:id="rId11"/>
    <sheet name="Short Rock Volumes" sheetId="11" r:id="rId12"/>
    <sheet name="Long Rock Volumes" sheetId="10"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8" l="1"/>
  <c r="G17" i="8"/>
  <c r="X16" i="26"/>
  <c r="F148" i="7"/>
  <c r="F147" i="7"/>
  <c r="F146" i="7"/>
  <c r="F145" i="7"/>
  <c r="F144" i="7"/>
  <c r="F143" i="7"/>
  <c r="F142" i="7"/>
  <c r="F141" i="7"/>
  <c r="K128" i="7"/>
  <c r="J22" i="27"/>
  <c r="C4" i="27"/>
  <c r="C5" i="27"/>
  <c r="C6" i="27"/>
  <c r="C7" i="27"/>
  <c r="C8" i="27"/>
  <c r="C9" i="27"/>
  <c r="C10" i="27"/>
  <c r="C11" i="27"/>
  <c r="C26" i="26"/>
  <c r="C27" i="26"/>
  <c r="C28" i="26"/>
  <c r="C29" i="26"/>
  <c r="G3" i="27"/>
  <c r="F3" i="27"/>
  <c r="E3" i="27"/>
  <c r="D3" i="27"/>
  <c r="D12" i="27"/>
  <c r="E12" i="27"/>
  <c r="F12" i="27"/>
  <c r="G12" i="27"/>
  <c r="AB28" i="26"/>
  <c r="AD28" i="26"/>
  <c r="AF28" i="26"/>
  <c r="AG28" i="26"/>
  <c r="AH28" i="26"/>
  <c r="AI28" i="26"/>
  <c r="AJ28" i="26"/>
  <c r="AK28" i="26"/>
  <c r="AL28" i="26"/>
  <c r="AM28" i="26"/>
  <c r="AN28" i="26"/>
  <c r="AO28" i="26"/>
  <c r="AP28" i="26"/>
  <c r="AQ28" i="26"/>
  <c r="AB29" i="26"/>
  <c r="AD29" i="26"/>
  <c r="AE29" i="26"/>
  <c r="AF29" i="26"/>
  <c r="AG29" i="26"/>
  <c r="AH29" i="26"/>
  <c r="AI29" i="26"/>
  <c r="AJ29" i="26"/>
  <c r="AK29" i="26"/>
  <c r="AL29" i="26"/>
  <c r="AM29" i="26"/>
  <c r="AN29" i="26"/>
  <c r="AP29" i="26"/>
  <c r="B27" i="26"/>
  <c r="B28" i="26"/>
  <c r="B29" i="26"/>
  <c r="B30" i="26"/>
  <c r="D30" i="26"/>
  <c r="C30" i="26"/>
  <c r="Z30" i="26"/>
  <c r="V13" i="26"/>
  <c r="V14" i="26"/>
  <c r="V15" i="26"/>
  <c r="V17" i="26"/>
  <c r="V18" i="26"/>
  <c r="V20" i="26"/>
  <c r="AB30" i="26"/>
  <c r="AC30" i="26"/>
  <c r="AD30" i="26"/>
  <c r="AE30" i="26"/>
  <c r="AF30" i="26"/>
  <c r="AG30" i="26"/>
  <c r="AH30" i="26"/>
  <c r="AI30" i="26"/>
  <c r="AJ30" i="26"/>
  <c r="AK30" i="26"/>
  <c r="AL30" i="26"/>
  <c r="AM30" i="26"/>
  <c r="AN30" i="26"/>
  <c r="AO30" i="26"/>
  <c r="AP30" i="26"/>
  <c r="AQ30" i="26"/>
  <c r="AR30" i="26"/>
  <c r="B31" i="26"/>
  <c r="D31" i="26"/>
  <c r="E31" i="26" s="1"/>
  <c r="C31" i="26"/>
  <c r="Z31" i="26"/>
  <c r="AA31" i="26"/>
  <c r="AB31" i="26"/>
  <c r="AC31" i="26"/>
  <c r="AD31" i="26"/>
  <c r="AE31" i="26"/>
  <c r="AF31" i="26"/>
  <c r="AG31" i="26"/>
  <c r="AH31" i="26"/>
  <c r="AI31" i="26"/>
  <c r="AJ31" i="26"/>
  <c r="AK31" i="26"/>
  <c r="AL31" i="26"/>
  <c r="AM31" i="26"/>
  <c r="AN31" i="26"/>
  <c r="AO31" i="26"/>
  <c r="AP31" i="26"/>
  <c r="AQ31" i="26"/>
  <c r="AR31" i="26"/>
  <c r="W31" i="26"/>
  <c r="AS31" i="26"/>
  <c r="B32" i="26"/>
  <c r="D32" i="26"/>
  <c r="E32" i="26" s="1"/>
  <c r="C32" i="26"/>
  <c r="Z32" i="26"/>
  <c r="AA32" i="26"/>
  <c r="AB32" i="26"/>
  <c r="AC32" i="26"/>
  <c r="AD32" i="26"/>
  <c r="AE32" i="26"/>
  <c r="AF32" i="26"/>
  <c r="AG32" i="26"/>
  <c r="AH32" i="26"/>
  <c r="AI32" i="26"/>
  <c r="AJ32" i="26"/>
  <c r="AK32" i="26"/>
  <c r="AL32" i="26"/>
  <c r="AM32" i="26"/>
  <c r="AN32" i="26"/>
  <c r="AO32" i="26"/>
  <c r="AP32" i="26"/>
  <c r="AQ32" i="26"/>
  <c r="AR32" i="26"/>
  <c r="W32" i="26"/>
  <c r="AS32" i="26"/>
  <c r="B33" i="26"/>
  <c r="D33" i="26"/>
  <c r="E33" i="26" s="1"/>
  <c r="C33" i="26"/>
  <c r="Z33" i="26"/>
  <c r="AA33" i="26"/>
  <c r="AB33" i="26"/>
  <c r="AC33" i="26"/>
  <c r="AD33" i="26"/>
  <c r="AE33" i="26"/>
  <c r="AF33" i="26"/>
  <c r="AG33" i="26"/>
  <c r="AH33" i="26"/>
  <c r="AI33" i="26"/>
  <c r="AJ33" i="26"/>
  <c r="AK33" i="26"/>
  <c r="AL33" i="26"/>
  <c r="AM33" i="26"/>
  <c r="AN33" i="26"/>
  <c r="AO33" i="26"/>
  <c r="AP33" i="26"/>
  <c r="AQ33" i="26"/>
  <c r="AR33" i="26"/>
  <c r="W33" i="26"/>
  <c r="AS33" i="26"/>
  <c r="B34" i="26"/>
  <c r="D34" i="26"/>
  <c r="C34" i="26"/>
  <c r="Z34" i="26"/>
  <c r="X18" i="26"/>
  <c r="AB34" i="26"/>
  <c r="AC34" i="26"/>
  <c r="AD34" i="26"/>
  <c r="AE34" i="26"/>
  <c r="AF34" i="26"/>
  <c r="AG34" i="26"/>
  <c r="AH34" i="26"/>
  <c r="AI34" i="26"/>
  <c r="AJ34" i="26"/>
  <c r="AK34" i="26"/>
  <c r="AL34" i="26"/>
  <c r="AM34" i="26"/>
  <c r="AN34" i="26"/>
  <c r="AO34" i="26"/>
  <c r="AP34" i="26"/>
  <c r="AQ34" i="26"/>
  <c r="AR34" i="26"/>
  <c r="B35" i="26"/>
  <c r="D35" i="26"/>
  <c r="E35" i="26" s="1"/>
  <c r="C35" i="26"/>
  <c r="Z35" i="26"/>
  <c r="AA35" i="26"/>
  <c r="AB35" i="26"/>
  <c r="AC35" i="26"/>
  <c r="AD35" i="26"/>
  <c r="AE35" i="26"/>
  <c r="AF35" i="26"/>
  <c r="AG35" i="26"/>
  <c r="AH35" i="26"/>
  <c r="AI35" i="26"/>
  <c r="AJ35" i="26"/>
  <c r="AK35" i="26"/>
  <c r="AL35" i="26"/>
  <c r="AM35" i="26"/>
  <c r="AN35" i="26"/>
  <c r="AO35" i="26"/>
  <c r="AP35" i="26"/>
  <c r="AQ35" i="26"/>
  <c r="AR35" i="26"/>
  <c r="W35" i="26"/>
  <c r="AS35" i="26"/>
  <c r="B36" i="26"/>
  <c r="D36" i="26"/>
  <c r="E36" i="26" s="1"/>
  <c r="C36" i="26"/>
  <c r="Z36" i="26"/>
  <c r="AA36" i="26"/>
  <c r="AB36" i="26"/>
  <c r="AC36" i="26"/>
  <c r="AD36" i="26"/>
  <c r="AE36" i="26"/>
  <c r="AF36" i="26"/>
  <c r="AG36" i="26"/>
  <c r="AH36" i="26"/>
  <c r="AI36" i="26"/>
  <c r="AJ36" i="26"/>
  <c r="AK36" i="26"/>
  <c r="AL36" i="26"/>
  <c r="AM36" i="26"/>
  <c r="AN36" i="26"/>
  <c r="AO36" i="26"/>
  <c r="AP36" i="26"/>
  <c r="AQ36" i="26"/>
  <c r="AR36" i="26"/>
  <c r="W36" i="26"/>
  <c r="AS36" i="26"/>
  <c r="B37" i="26"/>
  <c r="D37" i="26"/>
  <c r="E37" i="26" s="1"/>
  <c r="C37" i="26"/>
  <c r="Z37" i="26"/>
  <c r="AA37" i="26"/>
  <c r="AB37" i="26"/>
  <c r="AC37" i="26"/>
  <c r="AD37" i="26"/>
  <c r="AE37" i="26"/>
  <c r="AF37" i="26"/>
  <c r="AG37" i="26"/>
  <c r="AH37" i="26"/>
  <c r="AI37" i="26"/>
  <c r="AJ37" i="26"/>
  <c r="AK37" i="26"/>
  <c r="AL37" i="26"/>
  <c r="AM37" i="26"/>
  <c r="AN37" i="26"/>
  <c r="AO37" i="26"/>
  <c r="AP37" i="26"/>
  <c r="AQ37" i="26"/>
  <c r="AR37" i="26"/>
  <c r="W37" i="26"/>
  <c r="AS37" i="26"/>
  <c r="B38" i="26"/>
  <c r="D38" i="26"/>
  <c r="E38" i="26" s="1"/>
  <c r="C38" i="26"/>
  <c r="Z38" i="26"/>
  <c r="AA38" i="26"/>
  <c r="AB38" i="26"/>
  <c r="AC38" i="26"/>
  <c r="AD38" i="26"/>
  <c r="AE38" i="26"/>
  <c r="AF38" i="26"/>
  <c r="AG38" i="26"/>
  <c r="AH38" i="26"/>
  <c r="AI38" i="26"/>
  <c r="AJ38" i="26"/>
  <c r="AK38" i="26"/>
  <c r="AL38" i="26"/>
  <c r="AM38" i="26"/>
  <c r="AN38" i="26"/>
  <c r="AO38" i="26"/>
  <c r="AP38" i="26"/>
  <c r="AQ38" i="26"/>
  <c r="AR38" i="26"/>
  <c r="W38" i="26"/>
  <c r="AS38" i="26"/>
  <c r="B39" i="26"/>
  <c r="D39" i="26"/>
  <c r="C39" i="26"/>
  <c r="Z39" i="26"/>
  <c r="X13" i="26"/>
  <c r="X15" i="26"/>
  <c r="X17" i="26"/>
  <c r="AB39" i="26"/>
  <c r="AC39" i="26"/>
  <c r="AD39" i="26"/>
  <c r="AE39" i="26"/>
  <c r="AF39" i="26"/>
  <c r="AG39" i="26"/>
  <c r="AH39" i="26"/>
  <c r="AI39" i="26"/>
  <c r="AJ39" i="26"/>
  <c r="AK39" i="26"/>
  <c r="AL39" i="26"/>
  <c r="AM39" i="26"/>
  <c r="AN39" i="26"/>
  <c r="AO39" i="26"/>
  <c r="AP39" i="26"/>
  <c r="AQ39" i="26"/>
  <c r="AR39" i="26"/>
  <c r="B40" i="26"/>
  <c r="D40" i="26"/>
  <c r="E40" i="26" s="1"/>
  <c r="C40" i="26"/>
  <c r="Z40" i="26"/>
  <c r="AA40" i="26"/>
  <c r="AB40" i="26"/>
  <c r="AC40" i="26"/>
  <c r="AD40" i="26"/>
  <c r="AE40" i="26"/>
  <c r="AF40" i="26"/>
  <c r="AG40" i="26"/>
  <c r="AH40" i="26"/>
  <c r="AI40" i="26"/>
  <c r="AJ40" i="26"/>
  <c r="AK40" i="26"/>
  <c r="AL40" i="26"/>
  <c r="AM40" i="26"/>
  <c r="AN40" i="26"/>
  <c r="AO40" i="26"/>
  <c r="AP40" i="26"/>
  <c r="AQ40" i="26"/>
  <c r="AR40" i="26"/>
  <c r="W40" i="26"/>
  <c r="AS40" i="26"/>
  <c r="B41" i="26"/>
  <c r="D41" i="26"/>
  <c r="E41" i="26" s="1"/>
  <c r="C41" i="26"/>
  <c r="Z41" i="26"/>
  <c r="AA41" i="26"/>
  <c r="AB41" i="26"/>
  <c r="AC41" i="26"/>
  <c r="AD41" i="26"/>
  <c r="AE41" i="26"/>
  <c r="AF41" i="26"/>
  <c r="AG41" i="26"/>
  <c r="AH41" i="26"/>
  <c r="AI41" i="26"/>
  <c r="AJ41" i="26"/>
  <c r="AK41" i="26"/>
  <c r="AL41" i="26"/>
  <c r="AM41" i="26"/>
  <c r="AN41" i="26"/>
  <c r="AO41" i="26"/>
  <c r="AP41" i="26"/>
  <c r="AQ41" i="26"/>
  <c r="AR41" i="26"/>
  <c r="W41" i="26"/>
  <c r="AS41" i="26"/>
  <c r="B42" i="26"/>
  <c r="D42" i="26"/>
  <c r="E42" i="26" s="1"/>
  <c r="C42" i="26"/>
  <c r="Z42" i="26"/>
  <c r="AA42" i="26"/>
  <c r="AB42" i="26"/>
  <c r="AC42" i="26"/>
  <c r="AD42" i="26"/>
  <c r="AE42" i="26"/>
  <c r="AF42" i="26"/>
  <c r="AG42" i="26"/>
  <c r="AH42" i="26"/>
  <c r="AI42" i="26"/>
  <c r="AJ42" i="26"/>
  <c r="AK42" i="26"/>
  <c r="AL42" i="26"/>
  <c r="AM42" i="26"/>
  <c r="AN42" i="26"/>
  <c r="AO42" i="26"/>
  <c r="AP42" i="26"/>
  <c r="AQ42" i="26"/>
  <c r="AR42" i="26"/>
  <c r="W42" i="26"/>
  <c r="AS42" i="26"/>
  <c r="B43" i="26"/>
  <c r="D43" i="26"/>
  <c r="E43" i="26" s="1"/>
  <c r="C43" i="26"/>
  <c r="Z43" i="26"/>
  <c r="AA43" i="26"/>
  <c r="AB43" i="26"/>
  <c r="AC43" i="26"/>
  <c r="AD43" i="26"/>
  <c r="AE43" i="26"/>
  <c r="AF43" i="26"/>
  <c r="AG43" i="26"/>
  <c r="AH43" i="26"/>
  <c r="AI43" i="26"/>
  <c r="AJ43" i="26"/>
  <c r="AK43" i="26"/>
  <c r="AL43" i="26"/>
  <c r="AM43" i="26"/>
  <c r="AN43" i="26"/>
  <c r="AO43" i="26"/>
  <c r="AP43" i="26"/>
  <c r="AQ43" i="26"/>
  <c r="AR43" i="26"/>
  <c r="W43" i="26"/>
  <c r="AS43" i="26"/>
  <c r="B44" i="26"/>
  <c r="D44" i="26"/>
  <c r="E44" i="26" s="1"/>
  <c r="C44" i="26"/>
  <c r="Z44" i="26"/>
  <c r="AA44" i="26"/>
  <c r="AB44" i="26"/>
  <c r="AC44" i="26"/>
  <c r="AD44" i="26"/>
  <c r="AE44" i="26"/>
  <c r="AF44" i="26"/>
  <c r="AG44" i="26"/>
  <c r="AH44" i="26"/>
  <c r="AI44" i="26"/>
  <c r="AJ44" i="26"/>
  <c r="AK44" i="26"/>
  <c r="AL44" i="26"/>
  <c r="AM44" i="26"/>
  <c r="AN44" i="26"/>
  <c r="AO44" i="26"/>
  <c r="AP44" i="26"/>
  <c r="AQ44" i="26"/>
  <c r="AR44" i="26"/>
  <c r="W44" i="26"/>
  <c r="AS44" i="26"/>
  <c r="B45" i="26"/>
  <c r="D45" i="26"/>
  <c r="E45" i="26" s="1"/>
  <c r="C45" i="26"/>
  <c r="Z45" i="26"/>
  <c r="AA45" i="26"/>
  <c r="AB45" i="26"/>
  <c r="AC45" i="26"/>
  <c r="AD45" i="26"/>
  <c r="AE45" i="26"/>
  <c r="AF45" i="26"/>
  <c r="AG45" i="26"/>
  <c r="AH45" i="26"/>
  <c r="AI45" i="26"/>
  <c r="AJ45" i="26"/>
  <c r="AK45" i="26"/>
  <c r="AL45" i="26"/>
  <c r="AM45" i="26"/>
  <c r="AN45" i="26"/>
  <c r="AO45" i="26"/>
  <c r="AP45" i="26"/>
  <c r="AQ45" i="26"/>
  <c r="AR45" i="26"/>
  <c r="W45" i="26"/>
  <c r="AS45" i="26"/>
  <c r="B46" i="26"/>
  <c r="D46" i="26"/>
  <c r="E46" i="26" s="1"/>
  <c r="C46" i="26"/>
  <c r="Z46" i="26"/>
  <c r="AA46" i="26"/>
  <c r="AB46" i="26"/>
  <c r="AC46" i="26"/>
  <c r="AD46" i="26"/>
  <c r="AE46" i="26"/>
  <c r="AF46" i="26"/>
  <c r="AG46" i="26"/>
  <c r="AH46" i="26"/>
  <c r="AI46" i="26"/>
  <c r="AJ46" i="26"/>
  <c r="AK46" i="26"/>
  <c r="AL46" i="26"/>
  <c r="AM46" i="26"/>
  <c r="AN46" i="26"/>
  <c r="AO46" i="26"/>
  <c r="AP46" i="26"/>
  <c r="AQ46" i="26"/>
  <c r="AR46" i="26"/>
  <c r="W46" i="26"/>
  <c r="AS46" i="26"/>
  <c r="B47" i="26"/>
  <c r="D47" i="26"/>
  <c r="E47" i="26" s="1"/>
  <c r="C47" i="26"/>
  <c r="Z47" i="26"/>
  <c r="AA47" i="26"/>
  <c r="AB47" i="26"/>
  <c r="AC47" i="26"/>
  <c r="AD47" i="26"/>
  <c r="AE47" i="26"/>
  <c r="AF47" i="26"/>
  <c r="AG47" i="26"/>
  <c r="AH47" i="26"/>
  <c r="AI47" i="26"/>
  <c r="AJ47" i="26"/>
  <c r="AK47" i="26"/>
  <c r="AL47" i="26"/>
  <c r="AM47" i="26"/>
  <c r="AN47" i="26"/>
  <c r="AO47" i="26"/>
  <c r="AP47" i="26"/>
  <c r="AQ47" i="26"/>
  <c r="AR47" i="26"/>
  <c r="W47" i="26"/>
  <c r="AS47" i="26"/>
  <c r="B48" i="26"/>
  <c r="D48" i="26"/>
  <c r="E48" i="26" s="1"/>
  <c r="C48" i="26"/>
  <c r="Z48" i="26"/>
  <c r="AA48" i="26"/>
  <c r="AB48" i="26"/>
  <c r="AC48" i="26"/>
  <c r="AD48" i="26"/>
  <c r="AE48" i="26"/>
  <c r="AF48" i="26"/>
  <c r="AG48" i="26"/>
  <c r="AH48" i="26"/>
  <c r="AI48" i="26"/>
  <c r="AJ48" i="26"/>
  <c r="AK48" i="26"/>
  <c r="AL48" i="26"/>
  <c r="AM48" i="26"/>
  <c r="AN48" i="26"/>
  <c r="AO48" i="26"/>
  <c r="AP48" i="26"/>
  <c r="AQ48" i="26"/>
  <c r="AR48" i="26"/>
  <c r="W48" i="26"/>
  <c r="AS48" i="26"/>
  <c r="B49" i="26"/>
  <c r="D49" i="26"/>
  <c r="E49" i="26" s="1"/>
  <c r="C49" i="26"/>
  <c r="Z49" i="26"/>
  <c r="AA49" i="26"/>
  <c r="AB49" i="26"/>
  <c r="AC49" i="26"/>
  <c r="AD49" i="26"/>
  <c r="AE49" i="26"/>
  <c r="AF49" i="26"/>
  <c r="AG49" i="26"/>
  <c r="AH49" i="26"/>
  <c r="AI49" i="26"/>
  <c r="AJ49" i="26"/>
  <c r="AK49" i="26"/>
  <c r="AL49" i="26"/>
  <c r="AM49" i="26"/>
  <c r="AN49" i="26"/>
  <c r="AO49" i="26"/>
  <c r="AP49" i="26"/>
  <c r="AQ49" i="26"/>
  <c r="AR49" i="26"/>
  <c r="W49" i="26"/>
  <c r="AS49" i="26"/>
  <c r="B50" i="26"/>
  <c r="D50" i="26"/>
  <c r="E50" i="26" s="1"/>
  <c r="C50" i="26"/>
  <c r="Z50" i="26"/>
  <c r="AA50" i="26"/>
  <c r="AB50" i="26"/>
  <c r="AC50" i="26"/>
  <c r="AD50" i="26"/>
  <c r="AE50" i="26"/>
  <c r="AF50" i="26"/>
  <c r="AG50" i="26"/>
  <c r="AH50" i="26"/>
  <c r="AI50" i="26"/>
  <c r="AJ50" i="26"/>
  <c r="AK50" i="26"/>
  <c r="AL50" i="26"/>
  <c r="AM50" i="26"/>
  <c r="AN50" i="26"/>
  <c r="AO50" i="26"/>
  <c r="AP50" i="26"/>
  <c r="AQ50" i="26"/>
  <c r="AR50" i="26"/>
  <c r="W50" i="26"/>
  <c r="AS50" i="26"/>
  <c r="B51" i="26"/>
  <c r="D51" i="26"/>
  <c r="E51" i="26" s="1"/>
  <c r="C51" i="26"/>
  <c r="Z51" i="26"/>
  <c r="AA51" i="26"/>
  <c r="AB51" i="26"/>
  <c r="AC51" i="26"/>
  <c r="AD51" i="26"/>
  <c r="AE51" i="26"/>
  <c r="AF51" i="26"/>
  <c r="AG51" i="26"/>
  <c r="AH51" i="26"/>
  <c r="AI51" i="26"/>
  <c r="AJ51" i="26"/>
  <c r="AK51" i="26"/>
  <c r="AL51" i="26"/>
  <c r="AM51" i="26"/>
  <c r="AN51" i="26"/>
  <c r="AO51" i="26"/>
  <c r="AP51" i="26"/>
  <c r="AQ51" i="26"/>
  <c r="AR51" i="26"/>
  <c r="W51" i="26"/>
  <c r="AS51" i="26"/>
  <c r="B52" i="26"/>
  <c r="D52" i="26"/>
  <c r="E52" i="26" s="1"/>
  <c r="C52" i="26"/>
  <c r="Z52" i="26"/>
  <c r="AA52" i="26"/>
  <c r="AB52" i="26"/>
  <c r="AC52" i="26"/>
  <c r="AD52" i="26"/>
  <c r="AE52" i="26"/>
  <c r="AF52" i="26"/>
  <c r="AG52" i="26"/>
  <c r="AH52" i="26"/>
  <c r="AI52" i="26"/>
  <c r="AJ52" i="26"/>
  <c r="AK52" i="26"/>
  <c r="AL52" i="26"/>
  <c r="AM52" i="26"/>
  <c r="AN52" i="26"/>
  <c r="AO52" i="26"/>
  <c r="AP52" i="26"/>
  <c r="AQ52" i="26"/>
  <c r="AR52" i="26"/>
  <c r="W52" i="26"/>
  <c r="AS52" i="26"/>
  <c r="B53" i="26"/>
  <c r="D53" i="26"/>
  <c r="E53" i="26" s="1"/>
  <c r="C53" i="26"/>
  <c r="Z53" i="26"/>
  <c r="AA53" i="26"/>
  <c r="AB53" i="26"/>
  <c r="AC53" i="26"/>
  <c r="AD53" i="26"/>
  <c r="AE53" i="26"/>
  <c r="AF53" i="26"/>
  <c r="AG53" i="26"/>
  <c r="AH53" i="26"/>
  <c r="AI53" i="26"/>
  <c r="AJ53" i="26"/>
  <c r="AK53" i="26"/>
  <c r="AL53" i="26"/>
  <c r="AM53" i="26"/>
  <c r="AN53" i="26"/>
  <c r="AO53" i="26"/>
  <c r="AP53" i="26"/>
  <c r="AQ53" i="26"/>
  <c r="AR53" i="26"/>
  <c r="W53" i="26"/>
  <c r="AS53" i="26"/>
  <c r="B54" i="26"/>
  <c r="D54" i="26"/>
  <c r="E54" i="26" s="1"/>
  <c r="C54" i="26"/>
  <c r="Z54" i="26"/>
  <c r="AA54" i="26"/>
  <c r="AB54" i="26"/>
  <c r="AC54" i="26"/>
  <c r="AD54" i="26"/>
  <c r="AE54" i="26"/>
  <c r="AF54" i="26"/>
  <c r="AG54" i="26"/>
  <c r="AH54" i="26"/>
  <c r="AI54" i="26"/>
  <c r="AJ54" i="26"/>
  <c r="AK54" i="26"/>
  <c r="AL54" i="26"/>
  <c r="AM54" i="26"/>
  <c r="AN54" i="26"/>
  <c r="AO54" i="26"/>
  <c r="AP54" i="26"/>
  <c r="AQ54" i="26"/>
  <c r="AR54" i="26"/>
  <c r="W54" i="26"/>
  <c r="AS54" i="26"/>
  <c r="B55" i="26"/>
  <c r="D55" i="26"/>
  <c r="E55" i="26" s="1"/>
  <c r="C55" i="26"/>
  <c r="Z55" i="26"/>
  <c r="AA55" i="26"/>
  <c r="AB55" i="26"/>
  <c r="AC55" i="26"/>
  <c r="AD55" i="26"/>
  <c r="AE55" i="26"/>
  <c r="AF55" i="26"/>
  <c r="AG55" i="26"/>
  <c r="AH55" i="26"/>
  <c r="AI55" i="26"/>
  <c r="AJ55" i="26"/>
  <c r="AK55" i="26"/>
  <c r="AL55" i="26"/>
  <c r="AM55" i="26"/>
  <c r="AN55" i="26"/>
  <c r="AO55" i="26"/>
  <c r="AP55" i="26"/>
  <c r="AQ55" i="26"/>
  <c r="AR55" i="26"/>
  <c r="W55" i="26"/>
  <c r="AS55" i="26"/>
  <c r="B56" i="26"/>
  <c r="D56" i="26"/>
  <c r="E56" i="26" s="1"/>
  <c r="C56" i="26"/>
  <c r="Z56" i="26"/>
  <c r="AA56" i="26"/>
  <c r="AB56" i="26"/>
  <c r="AC56" i="26"/>
  <c r="AD56" i="26"/>
  <c r="AE56" i="26"/>
  <c r="AF56" i="26"/>
  <c r="AG56" i="26"/>
  <c r="AH56" i="26"/>
  <c r="AI56" i="26"/>
  <c r="AJ56" i="26"/>
  <c r="AK56" i="26"/>
  <c r="AL56" i="26"/>
  <c r="AM56" i="26"/>
  <c r="AN56" i="26"/>
  <c r="AO56" i="26"/>
  <c r="AP56" i="26"/>
  <c r="AQ56" i="26"/>
  <c r="AR56" i="26"/>
  <c r="W56" i="26"/>
  <c r="AS56" i="26"/>
  <c r="B57" i="26"/>
  <c r="D57" i="26"/>
  <c r="E57" i="26" s="1"/>
  <c r="C57" i="26"/>
  <c r="Z57" i="26"/>
  <c r="AA57" i="26"/>
  <c r="AB57" i="26"/>
  <c r="AC57" i="26"/>
  <c r="AD57" i="26"/>
  <c r="AE57" i="26"/>
  <c r="AF57" i="26"/>
  <c r="AG57" i="26"/>
  <c r="AH57" i="26"/>
  <c r="AI57" i="26"/>
  <c r="AJ57" i="26"/>
  <c r="AK57" i="26"/>
  <c r="AL57" i="26"/>
  <c r="AM57" i="26"/>
  <c r="AN57" i="26"/>
  <c r="AO57" i="26"/>
  <c r="AP57" i="26"/>
  <c r="AQ57" i="26"/>
  <c r="AR57" i="26"/>
  <c r="W57" i="26"/>
  <c r="AS57" i="26"/>
  <c r="B58" i="26"/>
  <c r="D58" i="26"/>
  <c r="E58" i="26" s="1"/>
  <c r="C58" i="26"/>
  <c r="Z58" i="26"/>
  <c r="AA58" i="26"/>
  <c r="AB58" i="26"/>
  <c r="AC58" i="26"/>
  <c r="AD58" i="26"/>
  <c r="AE58" i="26"/>
  <c r="AF58" i="26"/>
  <c r="AG58" i="26"/>
  <c r="AH58" i="26"/>
  <c r="AI58" i="26"/>
  <c r="AJ58" i="26"/>
  <c r="AK58" i="26"/>
  <c r="AL58" i="26"/>
  <c r="AM58" i="26"/>
  <c r="AN58" i="26"/>
  <c r="AO58" i="26"/>
  <c r="AP58" i="26"/>
  <c r="AQ58" i="26"/>
  <c r="AR58" i="26"/>
  <c r="W58" i="26"/>
  <c r="AS58" i="26"/>
  <c r="B59" i="26"/>
  <c r="D59" i="26"/>
  <c r="C59" i="26"/>
  <c r="Z59" i="26"/>
  <c r="X20" i="26"/>
  <c r="AB59" i="26"/>
  <c r="AC59" i="26"/>
  <c r="AD59" i="26"/>
  <c r="AE59" i="26"/>
  <c r="AF59" i="26"/>
  <c r="AG59" i="26"/>
  <c r="AH59" i="26"/>
  <c r="AI59" i="26"/>
  <c r="AJ59" i="26"/>
  <c r="AK59" i="26"/>
  <c r="AL59" i="26"/>
  <c r="AM59" i="26"/>
  <c r="AN59" i="26"/>
  <c r="AO59" i="26"/>
  <c r="AP59" i="26"/>
  <c r="AQ59" i="26"/>
  <c r="AR59" i="26"/>
  <c r="B60" i="26"/>
  <c r="D60" i="26"/>
  <c r="E60" i="26" s="1"/>
  <c r="C60" i="26"/>
  <c r="Z60" i="26"/>
  <c r="AA60" i="26"/>
  <c r="AB60" i="26"/>
  <c r="AC60" i="26"/>
  <c r="AD60" i="26"/>
  <c r="AE60" i="26"/>
  <c r="AF60" i="26"/>
  <c r="AG60" i="26"/>
  <c r="AH60" i="26"/>
  <c r="AI60" i="26"/>
  <c r="AJ60" i="26"/>
  <c r="AK60" i="26"/>
  <c r="AL60" i="26"/>
  <c r="AM60" i="26"/>
  <c r="AN60" i="26"/>
  <c r="AO60" i="26"/>
  <c r="AP60" i="26"/>
  <c r="AQ60" i="26"/>
  <c r="AR60" i="26"/>
  <c r="W60" i="26"/>
  <c r="AS60" i="26"/>
  <c r="B61" i="26"/>
  <c r="D61" i="26"/>
  <c r="E61" i="26" s="1"/>
  <c r="C61" i="26"/>
  <c r="Z61" i="26"/>
  <c r="AA61" i="26"/>
  <c r="AB61" i="26"/>
  <c r="AC61" i="26"/>
  <c r="AD61" i="26"/>
  <c r="AE61" i="26"/>
  <c r="AF61" i="26"/>
  <c r="AG61" i="26"/>
  <c r="AH61" i="26"/>
  <c r="AI61" i="26"/>
  <c r="AJ61" i="26"/>
  <c r="AK61" i="26"/>
  <c r="AL61" i="26"/>
  <c r="AM61" i="26"/>
  <c r="AN61" i="26"/>
  <c r="AO61" i="26"/>
  <c r="AP61" i="26"/>
  <c r="AQ61" i="26"/>
  <c r="AR61" i="26"/>
  <c r="W61" i="26"/>
  <c r="AS61" i="26"/>
  <c r="B62" i="26"/>
  <c r="D62" i="26"/>
  <c r="E62" i="26" s="1"/>
  <c r="C62" i="26"/>
  <c r="Z62" i="26"/>
  <c r="AA62" i="26"/>
  <c r="AB62" i="26"/>
  <c r="AC62" i="26"/>
  <c r="AD62" i="26"/>
  <c r="AE62" i="26"/>
  <c r="AF62" i="26"/>
  <c r="AG62" i="26"/>
  <c r="AH62" i="26"/>
  <c r="AI62" i="26"/>
  <c r="AJ62" i="26"/>
  <c r="AK62" i="26"/>
  <c r="AL62" i="26"/>
  <c r="AM62" i="26"/>
  <c r="AN62" i="26"/>
  <c r="AO62" i="26"/>
  <c r="AP62" i="26"/>
  <c r="AQ62" i="26"/>
  <c r="AR62" i="26"/>
  <c r="W62" i="26"/>
  <c r="AS62" i="26"/>
  <c r="B63" i="26"/>
  <c r="D63" i="26"/>
  <c r="E63" i="26" s="1"/>
  <c r="C63" i="26"/>
  <c r="Z63" i="26"/>
  <c r="AA63" i="26"/>
  <c r="AB63" i="26"/>
  <c r="AC63" i="26"/>
  <c r="AD63" i="26"/>
  <c r="AE63" i="26"/>
  <c r="AF63" i="26"/>
  <c r="AG63" i="26"/>
  <c r="AH63" i="26"/>
  <c r="AI63" i="26"/>
  <c r="AJ63" i="26"/>
  <c r="AK63" i="26"/>
  <c r="AL63" i="26"/>
  <c r="AM63" i="26"/>
  <c r="AN63" i="26"/>
  <c r="AO63" i="26"/>
  <c r="AP63" i="26"/>
  <c r="AQ63" i="26"/>
  <c r="AR63" i="26"/>
  <c r="W63" i="26"/>
  <c r="AS63" i="26"/>
  <c r="B64" i="26"/>
  <c r="D64" i="26"/>
  <c r="E64" i="26" s="1"/>
  <c r="C64" i="26"/>
  <c r="Z64" i="26"/>
  <c r="AA64" i="26"/>
  <c r="AB64" i="26"/>
  <c r="AC64" i="26"/>
  <c r="AD64" i="26"/>
  <c r="AE64" i="26"/>
  <c r="AF64" i="26"/>
  <c r="AG64" i="26"/>
  <c r="AH64" i="26"/>
  <c r="AI64" i="26"/>
  <c r="AJ64" i="26"/>
  <c r="AK64" i="26"/>
  <c r="AL64" i="26"/>
  <c r="AM64" i="26"/>
  <c r="AN64" i="26"/>
  <c r="AO64" i="26"/>
  <c r="AP64" i="26"/>
  <c r="AQ64" i="26"/>
  <c r="AR64" i="26"/>
  <c r="W64" i="26"/>
  <c r="AS64" i="26"/>
  <c r="B65" i="26"/>
  <c r="D65" i="26"/>
  <c r="E65" i="26" s="1"/>
  <c r="C65" i="26"/>
  <c r="Z65" i="26"/>
  <c r="AA65" i="26"/>
  <c r="AB65" i="26"/>
  <c r="AC65" i="26"/>
  <c r="AD65" i="26"/>
  <c r="AE65" i="26"/>
  <c r="AF65" i="26"/>
  <c r="AG65" i="26"/>
  <c r="AH65" i="26"/>
  <c r="AI65" i="26"/>
  <c r="AJ65" i="26"/>
  <c r="AK65" i="26"/>
  <c r="AL65" i="26"/>
  <c r="AM65" i="26"/>
  <c r="AN65" i="26"/>
  <c r="AO65" i="26"/>
  <c r="AP65" i="26"/>
  <c r="AQ65" i="26"/>
  <c r="AR65" i="26"/>
  <c r="W65" i="26"/>
  <c r="AS65" i="26"/>
  <c r="B66" i="26"/>
  <c r="D66" i="26"/>
  <c r="E66" i="26" s="1"/>
  <c r="C66" i="26"/>
  <c r="Z66" i="26"/>
  <c r="AA66" i="26"/>
  <c r="AB66" i="26"/>
  <c r="AC66" i="26"/>
  <c r="AD66" i="26"/>
  <c r="AE66" i="26"/>
  <c r="AF66" i="26"/>
  <c r="AG66" i="26"/>
  <c r="AH66" i="26"/>
  <c r="AI66" i="26"/>
  <c r="AJ66" i="26"/>
  <c r="AK66" i="26"/>
  <c r="AL66" i="26"/>
  <c r="AM66" i="26"/>
  <c r="AN66" i="26"/>
  <c r="AO66" i="26"/>
  <c r="AP66" i="26"/>
  <c r="AQ66" i="26"/>
  <c r="AR66" i="26"/>
  <c r="W66" i="26"/>
  <c r="AS66" i="26"/>
  <c r="B67" i="26"/>
  <c r="D67" i="26"/>
  <c r="E67" i="26" s="1"/>
  <c r="C67" i="26"/>
  <c r="Z67" i="26"/>
  <c r="AA67" i="26"/>
  <c r="AB67" i="26"/>
  <c r="AC67" i="26"/>
  <c r="AD67" i="26"/>
  <c r="AE67" i="26"/>
  <c r="AF67" i="26"/>
  <c r="AG67" i="26"/>
  <c r="AH67" i="26"/>
  <c r="AI67" i="26"/>
  <c r="AJ67" i="26"/>
  <c r="AK67" i="26"/>
  <c r="AL67" i="26"/>
  <c r="AM67" i="26"/>
  <c r="AN67" i="26"/>
  <c r="AO67" i="26"/>
  <c r="AP67" i="26"/>
  <c r="AQ67" i="26"/>
  <c r="AR67" i="26"/>
  <c r="W67" i="26"/>
  <c r="AS67" i="26"/>
  <c r="B68" i="26"/>
  <c r="D68" i="26"/>
  <c r="E68" i="26" s="1"/>
  <c r="C68" i="26"/>
  <c r="Z68" i="26"/>
  <c r="AA68" i="26"/>
  <c r="AB68" i="26"/>
  <c r="AC68" i="26"/>
  <c r="AD68" i="26"/>
  <c r="AE68" i="26"/>
  <c r="AF68" i="26"/>
  <c r="AG68" i="26"/>
  <c r="AH68" i="26"/>
  <c r="AI68" i="26"/>
  <c r="AJ68" i="26"/>
  <c r="AK68" i="26"/>
  <c r="AL68" i="26"/>
  <c r="AM68" i="26"/>
  <c r="AN68" i="26"/>
  <c r="AO68" i="26"/>
  <c r="AP68" i="26"/>
  <c r="AQ68" i="26"/>
  <c r="AR68" i="26"/>
  <c r="W68" i="26"/>
  <c r="AS68" i="26"/>
  <c r="B69" i="26"/>
  <c r="D69" i="26"/>
  <c r="E69" i="26" s="1"/>
  <c r="C69" i="26"/>
  <c r="Z69" i="26"/>
  <c r="AA69" i="26"/>
  <c r="AB69" i="26"/>
  <c r="AC69" i="26"/>
  <c r="AD69" i="26"/>
  <c r="AE69" i="26"/>
  <c r="AF69" i="26"/>
  <c r="AG69" i="26"/>
  <c r="AH69" i="26"/>
  <c r="AI69" i="26"/>
  <c r="AJ69" i="26"/>
  <c r="AK69" i="26"/>
  <c r="AL69" i="26"/>
  <c r="AM69" i="26"/>
  <c r="AN69" i="26"/>
  <c r="AO69" i="26"/>
  <c r="AP69" i="26"/>
  <c r="AQ69" i="26"/>
  <c r="AR69" i="26"/>
  <c r="W69" i="26"/>
  <c r="AS69" i="26"/>
  <c r="B70" i="26"/>
  <c r="D70" i="26"/>
  <c r="E70" i="26" s="1"/>
  <c r="C70" i="26"/>
  <c r="Z70" i="26"/>
  <c r="AA70" i="26"/>
  <c r="AB70" i="26"/>
  <c r="AC70" i="26"/>
  <c r="AD70" i="26"/>
  <c r="AE70" i="26"/>
  <c r="AF70" i="26"/>
  <c r="AG70" i="26"/>
  <c r="AH70" i="26"/>
  <c r="AI70" i="26"/>
  <c r="AJ70" i="26"/>
  <c r="AK70" i="26"/>
  <c r="AL70" i="26"/>
  <c r="AM70" i="26"/>
  <c r="AN70" i="26"/>
  <c r="AO70" i="26"/>
  <c r="AP70" i="26"/>
  <c r="AQ70" i="26"/>
  <c r="AR70" i="26"/>
  <c r="W70" i="26"/>
  <c r="AS70" i="26"/>
  <c r="B71" i="26"/>
  <c r="D71" i="26"/>
  <c r="E71" i="26" s="1"/>
  <c r="C71" i="26"/>
  <c r="Z71" i="26"/>
  <c r="AA71" i="26"/>
  <c r="AB71" i="26"/>
  <c r="AC71" i="26"/>
  <c r="AD71" i="26"/>
  <c r="AE71" i="26"/>
  <c r="AF71" i="26"/>
  <c r="AG71" i="26"/>
  <c r="AH71" i="26"/>
  <c r="AI71" i="26"/>
  <c r="AJ71" i="26"/>
  <c r="AK71" i="26"/>
  <c r="AL71" i="26"/>
  <c r="AM71" i="26"/>
  <c r="AN71" i="26"/>
  <c r="AO71" i="26"/>
  <c r="AP71" i="26"/>
  <c r="AQ71" i="26"/>
  <c r="AR71" i="26"/>
  <c r="W71" i="26"/>
  <c r="AS71" i="26"/>
  <c r="B72" i="26"/>
  <c r="D72" i="26"/>
  <c r="E72" i="26" s="1"/>
  <c r="C72" i="26"/>
  <c r="Z72" i="26"/>
  <c r="AA72" i="26"/>
  <c r="AB72" i="26"/>
  <c r="AC72" i="26"/>
  <c r="AD72" i="26"/>
  <c r="AE72" i="26"/>
  <c r="AF72" i="26"/>
  <c r="AG72" i="26"/>
  <c r="AH72" i="26"/>
  <c r="AI72" i="26"/>
  <c r="AJ72" i="26"/>
  <c r="AK72" i="26"/>
  <c r="AL72" i="26"/>
  <c r="AM72" i="26"/>
  <c r="AN72" i="26"/>
  <c r="AO72" i="26"/>
  <c r="AP72" i="26"/>
  <c r="AQ72" i="26"/>
  <c r="AR72" i="26"/>
  <c r="W72" i="26"/>
  <c r="AS72" i="26"/>
  <c r="B73" i="26"/>
  <c r="D73" i="26"/>
  <c r="E73" i="26" s="1"/>
  <c r="C73" i="26"/>
  <c r="Z73" i="26"/>
  <c r="AA73" i="26"/>
  <c r="AB73" i="26"/>
  <c r="AC73" i="26"/>
  <c r="AD73" i="26"/>
  <c r="AE73" i="26"/>
  <c r="AF73" i="26"/>
  <c r="AG73" i="26"/>
  <c r="AH73" i="26"/>
  <c r="AI73" i="26"/>
  <c r="AJ73" i="26"/>
  <c r="AK73" i="26"/>
  <c r="AL73" i="26"/>
  <c r="AM73" i="26"/>
  <c r="AN73" i="26"/>
  <c r="AO73" i="26"/>
  <c r="AP73" i="26"/>
  <c r="AQ73" i="26"/>
  <c r="AR73" i="26"/>
  <c r="W73" i="26"/>
  <c r="AS73" i="26"/>
  <c r="B74" i="26"/>
  <c r="D74" i="26"/>
  <c r="E74" i="26" s="1"/>
  <c r="C74" i="26"/>
  <c r="Z74" i="26"/>
  <c r="AA74" i="26"/>
  <c r="AB74" i="26"/>
  <c r="AC74" i="26"/>
  <c r="AD74" i="26"/>
  <c r="AE74" i="26"/>
  <c r="AF74" i="26"/>
  <c r="AG74" i="26"/>
  <c r="AH74" i="26"/>
  <c r="AI74" i="26"/>
  <c r="AJ74" i="26"/>
  <c r="AK74" i="26"/>
  <c r="AL74" i="26"/>
  <c r="AM74" i="26"/>
  <c r="AN74" i="26"/>
  <c r="AO74" i="26"/>
  <c r="AP74" i="26"/>
  <c r="AQ74" i="26"/>
  <c r="AR74" i="26"/>
  <c r="W74" i="26"/>
  <c r="AS74" i="26"/>
  <c r="B75" i="26"/>
  <c r="D75" i="26"/>
  <c r="E75" i="26" s="1"/>
  <c r="C75" i="26"/>
  <c r="Z75" i="26"/>
  <c r="AA75" i="26"/>
  <c r="AB75" i="26"/>
  <c r="AC75" i="26"/>
  <c r="AD75" i="26"/>
  <c r="AE75" i="26"/>
  <c r="AF75" i="26"/>
  <c r="AG75" i="26"/>
  <c r="AH75" i="26"/>
  <c r="AI75" i="26"/>
  <c r="AJ75" i="26"/>
  <c r="AK75" i="26"/>
  <c r="AL75" i="26"/>
  <c r="AM75" i="26"/>
  <c r="AN75" i="26"/>
  <c r="AO75" i="26"/>
  <c r="AP75" i="26"/>
  <c r="AQ75" i="26"/>
  <c r="AR75" i="26"/>
  <c r="W75" i="26"/>
  <c r="AS75" i="26"/>
  <c r="B76" i="26"/>
  <c r="D76" i="26"/>
  <c r="E76" i="26" s="1"/>
  <c r="C76" i="26"/>
  <c r="Z76" i="26"/>
  <c r="AA76" i="26"/>
  <c r="AB76" i="26"/>
  <c r="AC76" i="26"/>
  <c r="AD76" i="26"/>
  <c r="AE76" i="26"/>
  <c r="AF76" i="26"/>
  <c r="AG76" i="26"/>
  <c r="AH76" i="26"/>
  <c r="AI76" i="26"/>
  <c r="AJ76" i="26"/>
  <c r="AK76" i="26"/>
  <c r="AL76" i="26"/>
  <c r="AM76" i="26"/>
  <c r="AN76" i="26"/>
  <c r="AO76" i="26"/>
  <c r="AP76" i="26"/>
  <c r="AQ76" i="26"/>
  <c r="AR76" i="26"/>
  <c r="W76" i="26"/>
  <c r="AS76" i="26"/>
  <c r="B77" i="26"/>
  <c r="D77" i="26"/>
  <c r="E77" i="26" s="1"/>
  <c r="C77" i="26"/>
  <c r="Z77" i="26"/>
  <c r="AA77" i="26"/>
  <c r="AB77" i="26"/>
  <c r="AC77" i="26"/>
  <c r="AD77" i="26"/>
  <c r="AE77" i="26"/>
  <c r="AF77" i="26"/>
  <c r="AG77" i="26"/>
  <c r="AH77" i="26"/>
  <c r="AI77" i="26"/>
  <c r="AJ77" i="26"/>
  <c r="AK77" i="26"/>
  <c r="AL77" i="26"/>
  <c r="AM77" i="26"/>
  <c r="AN77" i="26"/>
  <c r="AO77" i="26"/>
  <c r="AP77" i="26"/>
  <c r="AQ77" i="26"/>
  <c r="AR77" i="26"/>
  <c r="W77" i="26"/>
  <c r="AS77" i="26"/>
  <c r="B78" i="26"/>
  <c r="D78" i="26"/>
  <c r="E78" i="26" s="1"/>
  <c r="C78" i="26"/>
  <c r="Z78" i="26"/>
  <c r="AA78" i="26"/>
  <c r="AB78" i="26"/>
  <c r="AC78" i="26"/>
  <c r="AD78" i="26"/>
  <c r="AE78" i="26"/>
  <c r="AF78" i="26"/>
  <c r="AG78" i="26"/>
  <c r="AH78" i="26"/>
  <c r="AI78" i="26"/>
  <c r="AJ78" i="26"/>
  <c r="AK78" i="26"/>
  <c r="AL78" i="26"/>
  <c r="AM78" i="26"/>
  <c r="AN78" i="26"/>
  <c r="AO78" i="26"/>
  <c r="AP78" i="26"/>
  <c r="AQ78" i="26"/>
  <c r="AR78" i="26"/>
  <c r="W78" i="26"/>
  <c r="AS78" i="26"/>
  <c r="B79" i="26"/>
  <c r="D79" i="26"/>
  <c r="C79" i="26"/>
  <c r="Z79" i="26"/>
  <c r="X14" i="26"/>
  <c r="AB79" i="26"/>
  <c r="AC79" i="26"/>
  <c r="AD79" i="26"/>
  <c r="AE79" i="26"/>
  <c r="AF79" i="26"/>
  <c r="AG79" i="26"/>
  <c r="AH79" i="26"/>
  <c r="AI79" i="26"/>
  <c r="AJ79" i="26"/>
  <c r="AK79" i="26"/>
  <c r="AL79" i="26"/>
  <c r="AM79" i="26"/>
  <c r="AN79" i="26"/>
  <c r="AO79" i="26"/>
  <c r="AP79" i="26"/>
  <c r="AQ79" i="26"/>
  <c r="AR79" i="26"/>
  <c r="B80" i="26"/>
  <c r="D80" i="26"/>
  <c r="E80" i="26" s="1"/>
  <c r="C80" i="26"/>
  <c r="Z80" i="26"/>
  <c r="AA80" i="26"/>
  <c r="AB80" i="26"/>
  <c r="AC80" i="26"/>
  <c r="AD80" i="26"/>
  <c r="AE80" i="26"/>
  <c r="AF80" i="26"/>
  <c r="AG80" i="26"/>
  <c r="AH80" i="26"/>
  <c r="AI80" i="26"/>
  <c r="AJ80" i="26"/>
  <c r="AK80" i="26"/>
  <c r="AL80" i="26"/>
  <c r="AM80" i="26"/>
  <c r="AN80" i="26"/>
  <c r="AO80" i="26"/>
  <c r="AP80" i="26"/>
  <c r="AQ80" i="26"/>
  <c r="AR80" i="26"/>
  <c r="W80" i="26"/>
  <c r="AS80" i="26"/>
  <c r="B81" i="26"/>
  <c r="D81" i="26"/>
  <c r="E81" i="26" s="1"/>
  <c r="C81" i="26"/>
  <c r="Z81" i="26"/>
  <c r="AA81" i="26"/>
  <c r="AB81" i="26"/>
  <c r="AC81" i="26"/>
  <c r="AD81" i="26"/>
  <c r="AE81" i="26"/>
  <c r="AF81" i="26"/>
  <c r="AG81" i="26"/>
  <c r="AH81" i="26"/>
  <c r="AI81" i="26"/>
  <c r="AJ81" i="26"/>
  <c r="AK81" i="26"/>
  <c r="AL81" i="26"/>
  <c r="AM81" i="26"/>
  <c r="AN81" i="26"/>
  <c r="AO81" i="26"/>
  <c r="AP81" i="26"/>
  <c r="AQ81" i="26"/>
  <c r="AR81" i="26"/>
  <c r="W81" i="26"/>
  <c r="AS81" i="26"/>
  <c r="B82" i="26"/>
  <c r="D82" i="26"/>
  <c r="E82" i="26" s="1"/>
  <c r="C82" i="26"/>
  <c r="Z82" i="26"/>
  <c r="AA82" i="26"/>
  <c r="AB82" i="26"/>
  <c r="AC82" i="26"/>
  <c r="AD82" i="26"/>
  <c r="AE82" i="26"/>
  <c r="AF82" i="26"/>
  <c r="AG82" i="26"/>
  <c r="AH82" i="26"/>
  <c r="AI82" i="26"/>
  <c r="AJ82" i="26"/>
  <c r="AK82" i="26"/>
  <c r="AL82" i="26"/>
  <c r="AM82" i="26"/>
  <c r="AN82" i="26"/>
  <c r="AO82" i="26"/>
  <c r="AP82" i="26"/>
  <c r="AQ82" i="26"/>
  <c r="AR82" i="26"/>
  <c r="W82" i="26"/>
  <c r="AS82" i="26"/>
  <c r="B83" i="26"/>
  <c r="D83" i="26"/>
  <c r="E83" i="26" s="1"/>
  <c r="C83" i="26"/>
  <c r="Z83" i="26"/>
  <c r="AA83" i="26"/>
  <c r="AB83" i="26"/>
  <c r="AC83" i="26"/>
  <c r="AD83" i="26"/>
  <c r="AE83" i="26"/>
  <c r="AF83" i="26"/>
  <c r="AG83" i="26"/>
  <c r="AH83" i="26"/>
  <c r="AI83" i="26"/>
  <c r="AJ83" i="26"/>
  <c r="AK83" i="26"/>
  <c r="AL83" i="26"/>
  <c r="AM83" i="26"/>
  <c r="AN83" i="26"/>
  <c r="AO83" i="26"/>
  <c r="AP83" i="26"/>
  <c r="AQ83" i="26"/>
  <c r="AR83" i="26"/>
  <c r="W83" i="26"/>
  <c r="AS83" i="26"/>
  <c r="B84" i="26"/>
  <c r="D84" i="26"/>
  <c r="E84" i="26" s="1"/>
  <c r="C84" i="26"/>
  <c r="Z84" i="26"/>
  <c r="AA84" i="26"/>
  <c r="AB84" i="26"/>
  <c r="AC84" i="26"/>
  <c r="AD84" i="26"/>
  <c r="AE84" i="26"/>
  <c r="AF84" i="26"/>
  <c r="AG84" i="26"/>
  <c r="AH84" i="26"/>
  <c r="AI84" i="26"/>
  <c r="AJ84" i="26"/>
  <c r="AK84" i="26"/>
  <c r="AL84" i="26"/>
  <c r="AM84" i="26"/>
  <c r="AN84" i="26"/>
  <c r="AO84" i="26"/>
  <c r="AP84" i="26"/>
  <c r="AQ84" i="26"/>
  <c r="AR84" i="26"/>
  <c r="W84" i="26"/>
  <c r="AS84" i="26"/>
  <c r="B85" i="26"/>
  <c r="D85" i="26"/>
  <c r="E85" i="26" s="1"/>
  <c r="C85" i="26"/>
  <c r="Z85" i="26"/>
  <c r="AA85" i="26"/>
  <c r="AB85" i="26"/>
  <c r="AC85" i="26"/>
  <c r="AD85" i="26"/>
  <c r="AE85" i="26"/>
  <c r="AF85" i="26"/>
  <c r="AG85" i="26"/>
  <c r="AH85" i="26"/>
  <c r="AI85" i="26"/>
  <c r="AJ85" i="26"/>
  <c r="AK85" i="26"/>
  <c r="AL85" i="26"/>
  <c r="AM85" i="26"/>
  <c r="AN85" i="26"/>
  <c r="AO85" i="26"/>
  <c r="AP85" i="26"/>
  <c r="AQ85" i="26"/>
  <c r="AR85" i="26"/>
  <c r="W85" i="26"/>
  <c r="AS85" i="26"/>
  <c r="B86" i="26"/>
  <c r="D86" i="26"/>
  <c r="E86" i="26" s="1"/>
  <c r="C86" i="26"/>
  <c r="Z86" i="26"/>
  <c r="AA86" i="26"/>
  <c r="AB86" i="26"/>
  <c r="AC86" i="26"/>
  <c r="AD86" i="26"/>
  <c r="AE86" i="26"/>
  <c r="AF86" i="26"/>
  <c r="AG86" i="26"/>
  <c r="AH86" i="26"/>
  <c r="AI86" i="26"/>
  <c r="AJ86" i="26"/>
  <c r="AK86" i="26"/>
  <c r="AL86" i="26"/>
  <c r="AM86" i="26"/>
  <c r="AN86" i="26"/>
  <c r="AO86" i="26"/>
  <c r="AP86" i="26"/>
  <c r="AQ86" i="26"/>
  <c r="AR86" i="26"/>
  <c r="W86" i="26"/>
  <c r="AS86" i="26"/>
  <c r="B87" i="26"/>
  <c r="D87" i="26"/>
  <c r="E87" i="26" s="1"/>
  <c r="C87" i="26"/>
  <c r="Z87" i="26"/>
  <c r="AA87" i="26"/>
  <c r="AB87" i="26"/>
  <c r="AC87" i="26"/>
  <c r="AD87" i="26"/>
  <c r="AE87" i="26"/>
  <c r="AF87" i="26"/>
  <c r="AG87" i="26"/>
  <c r="AH87" i="26"/>
  <c r="AI87" i="26"/>
  <c r="AJ87" i="26"/>
  <c r="AK87" i="26"/>
  <c r="AL87" i="26"/>
  <c r="AM87" i="26"/>
  <c r="AN87" i="26"/>
  <c r="AO87" i="26"/>
  <c r="AP87" i="26"/>
  <c r="AQ87" i="26"/>
  <c r="AR87" i="26"/>
  <c r="W87" i="26"/>
  <c r="AS87" i="26"/>
  <c r="B88" i="26"/>
  <c r="D88" i="26"/>
  <c r="E88" i="26" s="1"/>
  <c r="C88" i="26"/>
  <c r="Z88" i="26"/>
  <c r="AA88" i="26"/>
  <c r="AB88" i="26"/>
  <c r="AC88" i="26"/>
  <c r="AD88" i="26"/>
  <c r="AE88" i="26"/>
  <c r="AF88" i="26"/>
  <c r="AG88" i="26"/>
  <c r="AH88" i="26"/>
  <c r="AI88" i="26"/>
  <c r="AJ88" i="26"/>
  <c r="AK88" i="26"/>
  <c r="AL88" i="26"/>
  <c r="AM88" i="26"/>
  <c r="AN88" i="26"/>
  <c r="AO88" i="26"/>
  <c r="AP88" i="26"/>
  <c r="AQ88" i="26"/>
  <c r="AR88" i="26"/>
  <c r="W88" i="26"/>
  <c r="AS88" i="26"/>
  <c r="B89" i="26"/>
  <c r="D89" i="26"/>
  <c r="E89" i="26" s="1"/>
  <c r="C89" i="26"/>
  <c r="Z89" i="26"/>
  <c r="AA89" i="26"/>
  <c r="AB89" i="26"/>
  <c r="AC89" i="26"/>
  <c r="AD89" i="26"/>
  <c r="AE89" i="26"/>
  <c r="AF89" i="26"/>
  <c r="AG89" i="26"/>
  <c r="AH89" i="26"/>
  <c r="AI89" i="26"/>
  <c r="AJ89" i="26"/>
  <c r="AK89" i="26"/>
  <c r="AL89" i="26"/>
  <c r="AM89" i="26"/>
  <c r="AN89" i="26"/>
  <c r="AO89" i="26"/>
  <c r="AP89" i="26"/>
  <c r="AQ89" i="26"/>
  <c r="AR89" i="26"/>
  <c r="W89" i="26"/>
  <c r="AS89" i="26"/>
  <c r="B90" i="26"/>
  <c r="D90" i="26"/>
  <c r="E90" i="26" s="1"/>
  <c r="C90" i="26"/>
  <c r="Z90" i="26"/>
  <c r="AA90" i="26"/>
  <c r="AB90" i="26"/>
  <c r="AC90" i="26"/>
  <c r="AD90" i="26"/>
  <c r="AE90" i="26"/>
  <c r="AF90" i="26"/>
  <c r="AG90" i="26"/>
  <c r="AH90" i="26"/>
  <c r="AI90" i="26"/>
  <c r="AJ90" i="26"/>
  <c r="AK90" i="26"/>
  <c r="AL90" i="26"/>
  <c r="AM90" i="26"/>
  <c r="AN90" i="26"/>
  <c r="AO90" i="26"/>
  <c r="AP90" i="26"/>
  <c r="AQ90" i="26"/>
  <c r="AR90" i="26"/>
  <c r="W90" i="26"/>
  <c r="AS90" i="26"/>
  <c r="B91" i="26"/>
  <c r="D91" i="26"/>
  <c r="E91" i="26" s="1"/>
  <c r="C91" i="26"/>
  <c r="Z91" i="26"/>
  <c r="AA91" i="26"/>
  <c r="AB91" i="26"/>
  <c r="AC91" i="26"/>
  <c r="AD91" i="26"/>
  <c r="AE91" i="26"/>
  <c r="AF91" i="26"/>
  <c r="AG91" i="26"/>
  <c r="AH91" i="26"/>
  <c r="AI91" i="26"/>
  <c r="AJ91" i="26"/>
  <c r="AK91" i="26"/>
  <c r="AL91" i="26"/>
  <c r="AM91" i="26"/>
  <c r="AN91" i="26"/>
  <c r="AO91" i="26"/>
  <c r="AP91" i="26"/>
  <c r="AQ91" i="26"/>
  <c r="AR91" i="26"/>
  <c r="W91" i="26"/>
  <c r="AS91" i="26"/>
  <c r="B92" i="26"/>
  <c r="D92" i="26"/>
  <c r="E92" i="26" s="1"/>
  <c r="C92" i="26"/>
  <c r="Z92" i="26"/>
  <c r="AA92" i="26"/>
  <c r="AB92" i="26"/>
  <c r="AC92" i="26"/>
  <c r="AD92" i="26"/>
  <c r="AE92" i="26"/>
  <c r="AF92" i="26"/>
  <c r="AG92" i="26"/>
  <c r="AH92" i="26"/>
  <c r="AI92" i="26"/>
  <c r="AJ92" i="26"/>
  <c r="AK92" i="26"/>
  <c r="AL92" i="26"/>
  <c r="AM92" i="26"/>
  <c r="AN92" i="26"/>
  <c r="AO92" i="26"/>
  <c r="AP92" i="26"/>
  <c r="AQ92" i="26"/>
  <c r="AR92" i="26"/>
  <c r="W92" i="26"/>
  <c r="AS92" i="26"/>
  <c r="B93" i="26"/>
  <c r="D93" i="26"/>
  <c r="E93" i="26" s="1"/>
  <c r="C93" i="26"/>
  <c r="Z93" i="26"/>
  <c r="AA93" i="26"/>
  <c r="AB93" i="26"/>
  <c r="AC93" i="26"/>
  <c r="AD93" i="26"/>
  <c r="AE93" i="26"/>
  <c r="AF93" i="26"/>
  <c r="AG93" i="26"/>
  <c r="AH93" i="26"/>
  <c r="AI93" i="26"/>
  <c r="AJ93" i="26"/>
  <c r="AK93" i="26"/>
  <c r="AL93" i="26"/>
  <c r="AM93" i="26"/>
  <c r="AN93" i="26"/>
  <c r="AO93" i="26"/>
  <c r="AP93" i="26"/>
  <c r="AQ93" i="26"/>
  <c r="AR93" i="26"/>
  <c r="W93" i="26"/>
  <c r="AS93" i="26"/>
  <c r="B94" i="26"/>
  <c r="D94" i="26"/>
  <c r="E94" i="26" s="1"/>
  <c r="C94" i="26"/>
  <c r="Z94" i="26"/>
  <c r="AA94" i="26"/>
  <c r="AB94" i="26"/>
  <c r="AC94" i="26"/>
  <c r="AD94" i="26"/>
  <c r="AE94" i="26"/>
  <c r="AF94" i="26"/>
  <c r="AG94" i="26"/>
  <c r="AH94" i="26"/>
  <c r="AI94" i="26"/>
  <c r="AJ94" i="26"/>
  <c r="AK94" i="26"/>
  <c r="AL94" i="26"/>
  <c r="AM94" i="26"/>
  <c r="AN94" i="26"/>
  <c r="AO94" i="26"/>
  <c r="AP94" i="26"/>
  <c r="AQ94" i="26"/>
  <c r="AR94" i="26"/>
  <c r="W94" i="26"/>
  <c r="AS94" i="26"/>
  <c r="B95" i="26"/>
  <c r="D95" i="26"/>
  <c r="E95" i="26" s="1"/>
  <c r="C95" i="26"/>
  <c r="Z95" i="26"/>
  <c r="AA95" i="26"/>
  <c r="AB95" i="26"/>
  <c r="AC95" i="26"/>
  <c r="AD95" i="26"/>
  <c r="AE95" i="26"/>
  <c r="AF95" i="26"/>
  <c r="AG95" i="26"/>
  <c r="AH95" i="26"/>
  <c r="AI95" i="26"/>
  <c r="AJ95" i="26"/>
  <c r="AK95" i="26"/>
  <c r="AL95" i="26"/>
  <c r="AM95" i="26"/>
  <c r="AN95" i="26"/>
  <c r="AO95" i="26"/>
  <c r="AP95" i="26"/>
  <c r="AQ95" i="26"/>
  <c r="AR95" i="26"/>
  <c r="W95" i="26"/>
  <c r="AS95" i="26"/>
  <c r="B96" i="26"/>
  <c r="D96" i="26"/>
  <c r="E96" i="26" s="1"/>
  <c r="C96" i="26"/>
  <c r="Z96" i="26"/>
  <c r="AA96" i="26"/>
  <c r="AB96" i="26"/>
  <c r="AC96" i="26"/>
  <c r="AD96" i="26"/>
  <c r="AE96" i="26"/>
  <c r="AF96" i="26"/>
  <c r="AG96" i="26"/>
  <c r="AH96" i="26"/>
  <c r="AI96" i="26"/>
  <c r="AJ96" i="26"/>
  <c r="AK96" i="26"/>
  <c r="AL96" i="26"/>
  <c r="AM96" i="26"/>
  <c r="AN96" i="26"/>
  <c r="AO96" i="26"/>
  <c r="AP96" i="26"/>
  <c r="AQ96" i="26"/>
  <c r="AR96" i="26"/>
  <c r="W96" i="26"/>
  <c r="AS96" i="26"/>
  <c r="B97" i="26"/>
  <c r="D97" i="26"/>
  <c r="E97" i="26" s="1"/>
  <c r="C97" i="26"/>
  <c r="Z97" i="26"/>
  <c r="AA97" i="26"/>
  <c r="AB97" i="26"/>
  <c r="AC97" i="26"/>
  <c r="AD97" i="26"/>
  <c r="AE97" i="26"/>
  <c r="AF97" i="26"/>
  <c r="AG97" i="26"/>
  <c r="AH97" i="26"/>
  <c r="AI97" i="26"/>
  <c r="AJ97" i="26"/>
  <c r="AK97" i="26"/>
  <c r="AL97" i="26"/>
  <c r="AM97" i="26"/>
  <c r="AN97" i="26"/>
  <c r="AO97" i="26"/>
  <c r="AP97" i="26"/>
  <c r="AQ97" i="26"/>
  <c r="AR97" i="26"/>
  <c r="W97" i="26"/>
  <c r="AS97" i="26"/>
  <c r="B98" i="26"/>
  <c r="D98" i="26"/>
  <c r="E98" i="26" s="1"/>
  <c r="C98" i="26"/>
  <c r="Z98" i="26"/>
  <c r="AA98" i="26"/>
  <c r="AB98" i="26"/>
  <c r="AC98" i="26"/>
  <c r="AD98" i="26"/>
  <c r="AE98" i="26"/>
  <c r="AF98" i="26"/>
  <c r="AG98" i="26"/>
  <c r="AH98" i="26"/>
  <c r="AI98" i="26"/>
  <c r="AJ98" i="26"/>
  <c r="AK98" i="26"/>
  <c r="AL98" i="26"/>
  <c r="AM98" i="26"/>
  <c r="AN98" i="26"/>
  <c r="AO98" i="26"/>
  <c r="AP98" i="26"/>
  <c r="AQ98" i="26"/>
  <c r="AR98" i="26"/>
  <c r="W98" i="26"/>
  <c r="AS98" i="26"/>
  <c r="B99" i="26"/>
  <c r="D99" i="26"/>
  <c r="E99" i="26" s="1"/>
  <c r="C99" i="26"/>
  <c r="Z99" i="26"/>
  <c r="AA99" i="26"/>
  <c r="AB99" i="26"/>
  <c r="AC99" i="26"/>
  <c r="AD99" i="26"/>
  <c r="AE99" i="26"/>
  <c r="AF99" i="26"/>
  <c r="AG99" i="26"/>
  <c r="AH99" i="26"/>
  <c r="AI99" i="26"/>
  <c r="AJ99" i="26"/>
  <c r="AK99" i="26"/>
  <c r="AL99" i="26"/>
  <c r="AM99" i="26"/>
  <c r="AN99" i="26"/>
  <c r="AO99" i="26"/>
  <c r="AP99" i="26"/>
  <c r="AQ99" i="26"/>
  <c r="AR99" i="26"/>
  <c r="W99" i="26"/>
  <c r="AS99" i="26"/>
  <c r="B100" i="26"/>
  <c r="D100" i="26"/>
  <c r="E100" i="26" s="1"/>
  <c r="C100" i="26"/>
  <c r="Z100" i="26"/>
  <c r="AA100" i="26"/>
  <c r="AB100" i="26"/>
  <c r="AC100" i="26"/>
  <c r="AD100" i="26"/>
  <c r="AE100" i="26"/>
  <c r="AF100" i="26"/>
  <c r="AG100" i="26"/>
  <c r="AH100" i="26"/>
  <c r="AI100" i="26"/>
  <c r="AJ100" i="26"/>
  <c r="AK100" i="26"/>
  <c r="AL100" i="26"/>
  <c r="AM100" i="26"/>
  <c r="AN100" i="26"/>
  <c r="AO100" i="26"/>
  <c r="AP100" i="26"/>
  <c r="AQ100" i="26"/>
  <c r="AR100" i="26"/>
  <c r="W100" i="26"/>
  <c r="AS100" i="26"/>
  <c r="B101" i="26"/>
  <c r="D101" i="26"/>
  <c r="E101" i="26" s="1"/>
  <c r="C101" i="26"/>
  <c r="Z101" i="26"/>
  <c r="AA101" i="26"/>
  <c r="AB101" i="26"/>
  <c r="AC101" i="26"/>
  <c r="AD101" i="26"/>
  <c r="AE101" i="26"/>
  <c r="AF101" i="26"/>
  <c r="AG101" i="26"/>
  <c r="AH101" i="26"/>
  <c r="AI101" i="26"/>
  <c r="AJ101" i="26"/>
  <c r="AK101" i="26"/>
  <c r="AL101" i="26"/>
  <c r="AM101" i="26"/>
  <c r="AN101" i="26"/>
  <c r="AO101" i="26"/>
  <c r="AP101" i="26"/>
  <c r="AQ101" i="26"/>
  <c r="AR101" i="26"/>
  <c r="W101" i="26"/>
  <c r="AS101" i="26"/>
  <c r="B102" i="26"/>
  <c r="D102" i="26"/>
  <c r="E102" i="26" s="1"/>
  <c r="C102" i="26"/>
  <c r="Z102" i="26"/>
  <c r="AA102" i="26"/>
  <c r="AB102" i="26"/>
  <c r="AC102" i="26"/>
  <c r="AD102" i="26"/>
  <c r="AE102" i="26"/>
  <c r="AF102" i="26"/>
  <c r="AG102" i="26"/>
  <c r="AH102" i="26"/>
  <c r="AI102" i="26"/>
  <c r="AJ102" i="26"/>
  <c r="AK102" i="26"/>
  <c r="AL102" i="26"/>
  <c r="AM102" i="26"/>
  <c r="AN102" i="26"/>
  <c r="AO102" i="26"/>
  <c r="AP102" i="26"/>
  <c r="AQ102" i="26"/>
  <c r="AR102" i="26"/>
  <c r="W102" i="26"/>
  <c r="AS102" i="26"/>
  <c r="B103" i="26"/>
  <c r="D103" i="26"/>
  <c r="E103" i="26" s="1"/>
  <c r="C103" i="26"/>
  <c r="Z103" i="26"/>
  <c r="AA103" i="26"/>
  <c r="AB103" i="26"/>
  <c r="AC103" i="26"/>
  <c r="AD103" i="26"/>
  <c r="AE103" i="26"/>
  <c r="AF103" i="26"/>
  <c r="AG103" i="26"/>
  <c r="AH103" i="26"/>
  <c r="AI103" i="26"/>
  <c r="AJ103" i="26"/>
  <c r="AK103" i="26"/>
  <c r="AL103" i="26"/>
  <c r="AM103" i="26"/>
  <c r="AN103" i="26"/>
  <c r="AO103" i="26"/>
  <c r="AP103" i="26"/>
  <c r="AQ103" i="26"/>
  <c r="AR103" i="26"/>
  <c r="W103" i="26"/>
  <c r="AS103" i="26"/>
  <c r="B104" i="26"/>
  <c r="D104" i="26"/>
  <c r="E104" i="26" s="1"/>
  <c r="C104" i="26"/>
  <c r="Z104" i="26"/>
  <c r="AA104" i="26"/>
  <c r="AB104" i="26"/>
  <c r="AC104" i="26"/>
  <c r="AD104" i="26"/>
  <c r="AE104" i="26"/>
  <c r="AF104" i="26"/>
  <c r="AG104" i="26"/>
  <c r="AH104" i="26"/>
  <c r="AI104" i="26"/>
  <c r="AJ104" i="26"/>
  <c r="AK104" i="26"/>
  <c r="AL104" i="26"/>
  <c r="AM104" i="26"/>
  <c r="AN104" i="26"/>
  <c r="AO104" i="26"/>
  <c r="AP104" i="26"/>
  <c r="AQ104" i="26"/>
  <c r="AR104" i="26"/>
  <c r="W104" i="26"/>
  <c r="AS104" i="26"/>
  <c r="B105" i="26"/>
  <c r="D105" i="26"/>
  <c r="E105" i="26" s="1"/>
  <c r="C105" i="26"/>
  <c r="Z105" i="26"/>
  <c r="AA105" i="26"/>
  <c r="AB105" i="26"/>
  <c r="AC105" i="26"/>
  <c r="AD105" i="26"/>
  <c r="AE105" i="26"/>
  <c r="AF105" i="26"/>
  <c r="AG105" i="26"/>
  <c r="AH105" i="26"/>
  <c r="AI105" i="26"/>
  <c r="AJ105" i="26"/>
  <c r="AK105" i="26"/>
  <c r="AL105" i="26"/>
  <c r="AM105" i="26"/>
  <c r="AN105" i="26"/>
  <c r="AO105" i="26"/>
  <c r="AP105" i="26"/>
  <c r="AQ105" i="26"/>
  <c r="AR105" i="26"/>
  <c r="W105" i="26"/>
  <c r="AS105" i="26"/>
  <c r="B106" i="26"/>
  <c r="D106" i="26"/>
  <c r="E106" i="26" s="1"/>
  <c r="C106" i="26"/>
  <c r="Z106" i="26"/>
  <c r="AA106" i="26"/>
  <c r="AB106" i="26"/>
  <c r="AC106" i="26"/>
  <c r="AD106" i="26"/>
  <c r="AE106" i="26"/>
  <c r="AF106" i="26"/>
  <c r="AG106" i="26"/>
  <c r="AH106" i="26"/>
  <c r="AI106" i="26"/>
  <c r="AJ106" i="26"/>
  <c r="AK106" i="26"/>
  <c r="AL106" i="26"/>
  <c r="AM106" i="26"/>
  <c r="AN106" i="26"/>
  <c r="AO106" i="26"/>
  <c r="AP106" i="26"/>
  <c r="AQ106" i="26"/>
  <c r="AR106" i="26"/>
  <c r="W106" i="26"/>
  <c r="AS106" i="26"/>
  <c r="B107" i="26"/>
  <c r="D107" i="26"/>
  <c r="E107" i="26" s="1"/>
  <c r="C107" i="26"/>
  <c r="Z107" i="26"/>
  <c r="AA107" i="26"/>
  <c r="AB107" i="26"/>
  <c r="AC107" i="26"/>
  <c r="AD107" i="26"/>
  <c r="AE107" i="26"/>
  <c r="AF107" i="26"/>
  <c r="AG107" i="26"/>
  <c r="AH107" i="26"/>
  <c r="AI107" i="26"/>
  <c r="AJ107" i="26"/>
  <c r="AK107" i="26"/>
  <c r="AL107" i="26"/>
  <c r="AM107" i="26"/>
  <c r="AN107" i="26"/>
  <c r="AO107" i="26"/>
  <c r="AP107" i="26"/>
  <c r="AQ107" i="26"/>
  <c r="AR107" i="26"/>
  <c r="W107" i="26"/>
  <c r="AS107" i="26"/>
  <c r="B108" i="26"/>
  <c r="D108" i="26"/>
  <c r="E108" i="26" s="1"/>
  <c r="C108" i="26"/>
  <c r="Z108" i="26"/>
  <c r="AA108" i="26"/>
  <c r="AB108" i="26"/>
  <c r="AC108" i="26"/>
  <c r="AD108" i="26"/>
  <c r="AE108" i="26"/>
  <c r="AF108" i="26"/>
  <c r="AG108" i="26"/>
  <c r="AH108" i="26"/>
  <c r="AI108" i="26"/>
  <c r="AJ108" i="26"/>
  <c r="AK108" i="26"/>
  <c r="AL108" i="26"/>
  <c r="AM108" i="26"/>
  <c r="AN108" i="26"/>
  <c r="AO108" i="26"/>
  <c r="AP108" i="26"/>
  <c r="AQ108" i="26"/>
  <c r="AR108" i="26"/>
  <c r="W108" i="26"/>
  <c r="AS108" i="26"/>
  <c r="B109" i="26"/>
  <c r="D109" i="26"/>
  <c r="E109" i="26" s="1"/>
  <c r="C109" i="26"/>
  <c r="Z109" i="26"/>
  <c r="AA109" i="26"/>
  <c r="AB109" i="26"/>
  <c r="AC109" i="26"/>
  <c r="AD109" i="26"/>
  <c r="AE109" i="26"/>
  <c r="AF109" i="26"/>
  <c r="AG109" i="26"/>
  <c r="AH109" i="26"/>
  <c r="AI109" i="26"/>
  <c r="AJ109" i="26"/>
  <c r="AK109" i="26"/>
  <c r="AL109" i="26"/>
  <c r="AM109" i="26"/>
  <c r="AN109" i="26"/>
  <c r="AO109" i="26"/>
  <c r="AP109" i="26"/>
  <c r="AQ109" i="26"/>
  <c r="AR109" i="26"/>
  <c r="W109" i="26"/>
  <c r="AS109" i="26"/>
  <c r="B110" i="26"/>
  <c r="D110" i="26"/>
  <c r="E110" i="26" s="1"/>
  <c r="C110" i="26"/>
  <c r="Z110" i="26"/>
  <c r="AA110" i="26"/>
  <c r="AB110" i="26"/>
  <c r="AC110" i="26"/>
  <c r="AD110" i="26"/>
  <c r="AE110" i="26"/>
  <c r="AF110" i="26"/>
  <c r="AG110" i="26"/>
  <c r="AH110" i="26"/>
  <c r="AI110" i="26"/>
  <c r="AJ110" i="26"/>
  <c r="AK110" i="26"/>
  <c r="AL110" i="26"/>
  <c r="AM110" i="26"/>
  <c r="AN110" i="26"/>
  <c r="AO110" i="26"/>
  <c r="AP110" i="26"/>
  <c r="AQ110" i="26"/>
  <c r="AR110" i="26"/>
  <c r="W110" i="26"/>
  <c r="AS110" i="26"/>
  <c r="B111" i="26"/>
  <c r="D111" i="26"/>
  <c r="E111" i="26" s="1"/>
  <c r="C111" i="26"/>
  <c r="Z111" i="26"/>
  <c r="AA111" i="26"/>
  <c r="AB111" i="26"/>
  <c r="AC111" i="26"/>
  <c r="AD111" i="26"/>
  <c r="AE111" i="26"/>
  <c r="AF111" i="26"/>
  <c r="AG111" i="26"/>
  <c r="AH111" i="26"/>
  <c r="AI111" i="26"/>
  <c r="AJ111" i="26"/>
  <c r="AK111" i="26"/>
  <c r="AL111" i="26"/>
  <c r="AM111" i="26"/>
  <c r="AN111" i="26"/>
  <c r="AO111" i="26"/>
  <c r="AP111" i="26"/>
  <c r="AQ111" i="26"/>
  <c r="AR111" i="26"/>
  <c r="W111" i="26"/>
  <c r="AS111" i="26"/>
  <c r="B112" i="26"/>
  <c r="D112" i="26"/>
  <c r="E112" i="26" s="1"/>
  <c r="C112" i="26"/>
  <c r="Z112" i="26"/>
  <c r="AA112" i="26"/>
  <c r="AB112" i="26"/>
  <c r="AC112" i="26"/>
  <c r="AD112" i="26"/>
  <c r="AE112" i="26"/>
  <c r="AF112" i="26"/>
  <c r="AG112" i="26"/>
  <c r="AH112" i="26"/>
  <c r="AI112" i="26"/>
  <c r="AJ112" i="26"/>
  <c r="AK112" i="26"/>
  <c r="AL112" i="26"/>
  <c r="AM112" i="26"/>
  <c r="AN112" i="26"/>
  <c r="AO112" i="26"/>
  <c r="AP112" i="26"/>
  <c r="AQ112" i="26"/>
  <c r="AR112" i="26"/>
  <c r="W112" i="26"/>
  <c r="AS112" i="26"/>
  <c r="B113" i="26"/>
  <c r="D113" i="26"/>
  <c r="E113" i="26" s="1"/>
  <c r="C113" i="26"/>
  <c r="Z113" i="26"/>
  <c r="AA113" i="26"/>
  <c r="AB113" i="26"/>
  <c r="AC113" i="26"/>
  <c r="AD113" i="26"/>
  <c r="AE113" i="26"/>
  <c r="AF113" i="26"/>
  <c r="AG113" i="26"/>
  <c r="AH113" i="26"/>
  <c r="AI113" i="26"/>
  <c r="AJ113" i="26"/>
  <c r="AK113" i="26"/>
  <c r="AL113" i="26"/>
  <c r="AM113" i="26"/>
  <c r="AN113" i="26"/>
  <c r="AO113" i="26"/>
  <c r="AP113" i="26"/>
  <c r="AQ113" i="26"/>
  <c r="AR113" i="26"/>
  <c r="W113" i="26"/>
  <c r="AS113" i="26"/>
  <c r="B114" i="26"/>
  <c r="D114" i="26"/>
  <c r="E114" i="26" s="1"/>
  <c r="C114" i="26"/>
  <c r="Z114" i="26"/>
  <c r="AA114" i="26"/>
  <c r="AB114" i="26"/>
  <c r="AC114" i="26"/>
  <c r="AD114" i="26"/>
  <c r="AE114" i="26"/>
  <c r="AF114" i="26"/>
  <c r="AG114" i="26"/>
  <c r="AH114" i="26"/>
  <c r="AI114" i="26"/>
  <c r="AJ114" i="26"/>
  <c r="AK114" i="26"/>
  <c r="AL114" i="26"/>
  <c r="AM114" i="26"/>
  <c r="AN114" i="26"/>
  <c r="AO114" i="26"/>
  <c r="AP114" i="26"/>
  <c r="AQ114" i="26"/>
  <c r="AR114" i="26"/>
  <c r="W114" i="26"/>
  <c r="AS114" i="26"/>
  <c r="B115" i="26"/>
  <c r="D115" i="26"/>
  <c r="E115" i="26" s="1"/>
  <c r="C115" i="26"/>
  <c r="Z115" i="26"/>
  <c r="AA115" i="26"/>
  <c r="AB115" i="26"/>
  <c r="AC115" i="26"/>
  <c r="AD115" i="26"/>
  <c r="AE115" i="26"/>
  <c r="AF115" i="26"/>
  <c r="AG115" i="26"/>
  <c r="AH115" i="26"/>
  <c r="AI115" i="26"/>
  <c r="AJ115" i="26"/>
  <c r="AK115" i="26"/>
  <c r="AL115" i="26"/>
  <c r="AM115" i="26"/>
  <c r="AN115" i="26"/>
  <c r="AO115" i="26"/>
  <c r="AP115" i="26"/>
  <c r="AQ115" i="26"/>
  <c r="AR115" i="26"/>
  <c r="W115" i="26"/>
  <c r="AS115" i="26"/>
  <c r="B116" i="26"/>
  <c r="D116" i="26"/>
  <c r="E116" i="26" s="1"/>
  <c r="C116" i="26"/>
  <c r="Z116" i="26"/>
  <c r="AA116" i="26"/>
  <c r="AB116" i="26"/>
  <c r="AC116" i="26"/>
  <c r="AD116" i="26"/>
  <c r="AE116" i="26"/>
  <c r="AF116" i="26"/>
  <c r="AG116" i="26"/>
  <c r="AH116" i="26"/>
  <c r="AI116" i="26"/>
  <c r="AJ116" i="26"/>
  <c r="AK116" i="26"/>
  <c r="AL116" i="26"/>
  <c r="AM116" i="26"/>
  <c r="AN116" i="26"/>
  <c r="AO116" i="26"/>
  <c r="AP116" i="26"/>
  <c r="AQ116" i="26"/>
  <c r="AR116" i="26"/>
  <c r="W116" i="26"/>
  <c r="AS116" i="26"/>
  <c r="B117" i="26"/>
  <c r="D117" i="26"/>
  <c r="E117" i="26" s="1"/>
  <c r="C117" i="26"/>
  <c r="Z117" i="26"/>
  <c r="AA117" i="26"/>
  <c r="AB117" i="26"/>
  <c r="AC117" i="26"/>
  <c r="AD117" i="26"/>
  <c r="AE117" i="26"/>
  <c r="AF117" i="26"/>
  <c r="AG117" i="26"/>
  <c r="AH117" i="26"/>
  <c r="AI117" i="26"/>
  <c r="AJ117" i="26"/>
  <c r="AK117" i="26"/>
  <c r="AL117" i="26"/>
  <c r="AM117" i="26"/>
  <c r="AN117" i="26"/>
  <c r="AO117" i="26"/>
  <c r="AP117" i="26"/>
  <c r="AQ117" i="26"/>
  <c r="AR117" i="26"/>
  <c r="W117" i="26"/>
  <c r="AS117" i="26"/>
  <c r="B118" i="26"/>
  <c r="D118" i="26"/>
  <c r="E118" i="26" s="1"/>
  <c r="C118" i="26"/>
  <c r="Z118" i="26"/>
  <c r="AA118" i="26"/>
  <c r="AB118" i="26"/>
  <c r="AC118" i="26"/>
  <c r="AD118" i="26"/>
  <c r="AE118" i="26"/>
  <c r="AF118" i="26"/>
  <c r="AG118" i="26"/>
  <c r="AH118" i="26"/>
  <c r="AI118" i="26"/>
  <c r="AJ118" i="26"/>
  <c r="AK118" i="26"/>
  <c r="AL118" i="26"/>
  <c r="AM118" i="26"/>
  <c r="AN118" i="26"/>
  <c r="AO118" i="26"/>
  <c r="AP118" i="26"/>
  <c r="AQ118" i="26"/>
  <c r="AR118" i="26"/>
  <c r="W118" i="26"/>
  <c r="AS118" i="26"/>
  <c r="B119" i="26"/>
  <c r="D119" i="26"/>
  <c r="E119" i="26" s="1"/>
  <c r="C119" i="26"/>
  <c r="Z119" i="26"/>
  <c r="AA119" i="26"/>
  <c r="AB119" i="26"/>
  <c r="AC119" i="26"/>
  <c r="AD119" i="26"/>
  <c r="AE119" i="26"/>
  <c r="AF119" i="26"/>
  <c r="AG119" i="26"/>
  <c r="AH119" i="26"/>
  <c r="AI119" i="26"/>
  <c r="AJ119" i="26"/>
  <c r="AK119" i="26"/>
  <c r="AL119" i="26"/>
  <c r="AM119" i="26"/>
  <c r="AN119" i="26"/>
  <c r="AO119" i="26"/>
  <c r="AP119" i="26"/>
  <c r="AQ119" i="26"/>
  <c r="AR119" i="26"/>
  <c r="W119" i="26"/>
  <c r="AS119" i="26"/>
  <c r="B120" i="26"/>
  <c r="D120" i="26"/>
  <c r="E120" i="26" s="1"/>
  <c r="C120" i="26"/>
  <c r="Z120" i="26"/>
  <c r="AA120" i="26"/>
  <c r="AB120" i="26"/>
  <c r="AC120" i="26"/>
  <c r="AD120" i="26"/>
  <c r="AE120" i="26"/>
  <c r="AF120" i="26"/>
  <c r="AG120" i="26"/>
  <c r="AH120" i="26"/>
  <c r="AI120" i="26"/>
  <c r="AJ120" i="26"/>
  <c r="AK120" i="26"/>
  <c r="AL120" i="26"/>
  <c r="AM120" i="26"/>
  <c r="AN120" i="26"/>
  <c r="AO120" i="26"/>
  <c r="AP120" i="26"/>
  <c r="AQ120" i="26"/>
  <c r="AR120" i="26"/>
  <c r="W120" i="26"/>
  <c r="AS120" i="26"/>
  <c r="B121" i="26"/>
  <c r="D121" i="26"/>
  <c r="E121" i="26" s="1"/>
  <c r="C121" i="26"/>
  <c r="Z121" i="26"/>
  <c r="AA121" i="26"/>
  <c r="AB121" i="26"/>
  <c r="AC121" i="26"/>
  <c r="AD121" i="26"/>
  <c r="AE121" i="26"/>
  <c r="AF121" i="26"/>
  <c r="AG121" i="26"/>
  <c r="AH121" i="26"/>
  <c r="AI121" i="26"/>
  <c r="AJ121" i="26"/>
  <c r="AK121" i="26"/>
  <c r="AL121" i="26"/>
  <c r="AM121" i="26"/>
  <c r="AN121" i="26"/>
  <c r="AO121" i="26"/>
  <c r="AP121" i="26"/>
  <c r="AQ121" i="26"/>
  <c r="AR121" i="26"/>
  <c r="W121" i="26"/>
  <c r="AS121" i="26"/>
  <c r="B122" i="26"/>
  <c r="D122" i="26"/>
  <c r="E122" i="26" s="1"/>
  <c r="C122" i="26"/>
  <c r="Z122" i="26"/>
  <c r="AA122" i="26"/>
  <c r="AB122" i="26"/>
  <c r="AC122" i="26"/>
  <c r="AD122" i="26"/>
  <c r="AE122" i="26"/>
  <c r="AF122" i="26"/>
  <c r="AG122" i="26"/>
  <c r="AH122" i="26"/>
  <c r="AI122" i="26"/>
  <c r="AJ122" i="26"/>
  <c r="AK122" i="26"/>
  <c r="AL122" i="26"/>
  <c r="AM122" i="26"/>
  <c r="AN122" i="26"/>
  <c r="AO122" i="26"/>
  <c r="AP122" i="26"/>
  <c r="AQ122" i="26"/>
  <c r="AR122" i="26"/>
  <c r="W122" i="26"/>
  <c r="AS122" i="26"/>
  <c r="B123" i="26"/>
  <c r="D123" i="26"/>
  <c r="E123" i="26" s="1"/>
  <c r="C123" i="26"/>
  <c r="Z123" i="26"/>
  <c r="AA123" i="26"/>
  <c r="AB123" i="26"/>
  <c r="AC123" i="26"/>
  <c r="AD123" i="26"/>
  <c r="AE123" i="26"/>
  <c r="AF123" i="26"/>
  <c r="AG123" i="26"/>
  <c r="AH123" i="26"/>
  <c r="AI123" i="26"/>
  <c r="AJ123" i="26"/>
  <c r="AK123" i="26"/>
  <c r="AL123" i="26"/>
  <c r="AM123" i="26"/>
  <c r="AN123" i="26"/>
  <c r="AO123" i="26"/>
  <c r="AP123" i="26"/>
  <c r="AQ123" i="26"/>
  <c r="AR123" i="26"/>
  <c r="W123" i="26"/>
  <c r="AS123" i="26"/>
  <c r="B124" i="26"/>
  <c r="D124" i="26"/>
  <c r="E124" i="26" s="1"/>
  <c r="C124" i="26"/>
  <c r="Z124" i="26"/>
  <c r="AA124" i="26"/>
  <c r="AB124" i="26"/>
  <c r="AC124" i="26"/>
  <c r="AD124" i="26"/>
  <c r="AE124" i="26"/>
  <c r="AF124" i="26"/>
  <c r="AG124" i="26"/>
  <c r="AH124" i="26"/>
  <c r="AI124" i="26"/>
  <c r="AJ124" i="26"/>
  <c r="AK124" i="26"/>
  <c r="AL124" i="26"/>
  <c r="AM124" i="26"/>
  <c r="AN124" i="26"/>
  <c r="AO124" i="26"/>
  <c r="AP124" i="26"/>
  <c r="AQ124" i="26"/>
  <c r="AR124" i="26"/>
  <c r="W124" i="26"/>
  <c r="AS124" i="26"/>
  <c r="B125" i="26"/>
  <c r="D125" i="26"/>
  <c r="E125" i="26" s="1"/>
  <c r="C125" i="26"/>
  <c r="Z125" i="26"/>
  <c r="AA125" i="26"/>
  <c r="AB125" i="26"/>
  <c r="AC125" i="26"/>
  <c r="AD125" i="26"/>
  <c r="AE125" i="26"/>
  <c r="AF125" i="26"/>
  <c r="AG125" i="26"/>
  <c r="AH125" i="26"/>
  <c r="AI125" i="26"/>
  <c r="AJ125" i="26"/>
  <c r="AK125" i="26"/>
  <c r="AL125" i="26"/>
  <c r="AM125" i="26"/>
  <c r="AN125" i="26"/>
  <c r="AO125" i="26"/>
  <c r="AP125" i="26"/>
  <c r="AQ125" i="26"/>
  <c r="AR125" i="26"/>
  <c r="W125" i="26"/>
  <c r="AS125" i="26"/>
  <c r="D27" i="26"/>
  <c r="E27" i="26" s="1"/>
  <c r="Z27" i="26"/>
  <c r="AA27" i="26"/>
  <c r="AB27" i="26"/>
  <c r="AF27" i="26"/>
  <c r="AG27" i="26"/>
  <c r="AH27" i="26"/>
  <c r="AI27" i="26"/>
  <c r="AJ27" i="26"/>
  <c r="AK27" i="26"/>
  <c r="AL27" i="26"/>
  <c r="AM27" i="26"/>
  <c r="AN27" i="26"/>
  <c r="AO27" i="26"/>
  <c r="AP27" i="26"/>
  <c r="AQ27" i="26"/>
  <c r="W27" i="26"/>
  <c r="AS27" i="26"/>
  <c r="D26" i="26"/>
  <c r="E26" i="26" s="1"/>
  <c r="AA26" i="26"/>
  <c r="AB26" i="26"/>
  <c r="AD26" i="26"/>
  <c r="AE26" i="26"/>
  <c r="AF26" i="26"/>
  <c r="AG26" i="26"/>
  <c r="AH26" i="26"/>
  <c r="AI26" i="26"/>
  <c r="AJ26" i="26"/>
  <c r="AK26" i="26"/>
  <c r="AL26" i="26"/>
  <c r="AM26" i="26"/>
  <c r="AN26" i="26"/>
  <c r="AO26" i="26"/>
  <c r="AP26" i="26"/>
  <c r="AQ26" i="26"/>
  <c r="W26" i="26"/>
  <c r="AS26" i="26"/>
  <c r="H10" i="27"/>
  <c r="H5" i="27"/>
  <c r="H6" i="27"/>
  <c r="C12" i="27"/>
  <c r="H4" i="27"/>
  <c r="K4" i="27"/>
  <c r="H11" i="27"/>
  <c r="H9" i="27"/>
  <c r="K6" i="27"/>
  <c r="H8" i="27"/>
  <c r="H7" i="27"/>
  <c r="U29" i="26"/>
  <c r="AQ29" i="26"/>
  <c r="G27" i="26"/>
  <c r="AC27" i="26"/>
  <c r="G28" i="26"/>
  <c r="AC28" i="26"/>
  <c r="G29" i="26"/>
  <c r="AC29" i="26"/>
  <c r="G26" i="26"/>
  <c r="AC26" i="26"/>
  <c r="H27" i="26"/>
  <c r="AD27" i="26"/>
  <c r="D29" i="26"/>
  <c r="E29" i="26" s="1"/>
  <c r="Z29" i="26"/>
  <c r="D28" i="26"/>
  <c r="E28" i="26" s="1"/>
  <c r="Z28" i="26"/>
  <c r="Z26" i="26"/>
  <c r="T23" i="26"/>
  <c r="R23" i="26"/>
  <c r="Q23" i="26"/>
  <c r="P23" i="26"/>
  <c r="O23" i="26"/>
  <c r="N23" i="26"/>
  <c r="M23" i="26"/>
  <c r="K23" i="26"/>
  <c r="J23" i="26"/>
  <c r="F23" i="26"/>
  <c r="U15" i="26"/>
  <c r="U14" i="26"/>
  <c r="V12" i="26"/>
  <c r="E10" i="26"/>
  <c r="K5" i="27"/>
  <c r="K7" i="27"/>
  <c r="H12" i="27"/>
  <c r="U23" i="26"/>
  <c r="G23" i="26"/>
  <c r="H23" i="26"/>
  <c r="AC23" i="26"/>
  <c r="AJ23" i="26"/>
  <c r="AB23" i="26"/>
  <c r="AG23" i="26"/>
  <c r="AD23" i="26"/>
  <c r="AQ23" i="26"/>
  <c r="AM23" i="26"/>
  <c r="AL23" i="26"/>
  <c r="AH23" i="26"/>
  <c r="AK23" i="26"/>
  <c r="AP23" i="26"/>
  <c r="AA28" i="26"/>
  <c r="AF23" i="26"/>
  <c r="AI23" i="26"/>
  <c r="AN23" i="26"/>
  <c r="AA29" i="26"/>
  <c r="W28" i="26"/>
  <c r="AS28" i="26"/>
  <c r="W29" i="26"/>
  <c r="AS29" i="26"/>
  <c r="AT32" i="26"/>
  <c r="AT31" i="26"/>
  <c r="Y31" i="26"/>
  <c r="Y32" i="26"/>
  <c r="AT33" i="26"/>
  <c r="Y33" i="26"/>
  <c r="AT35" i="26"/>
  <c r="Y35" i="26"/>
  <c r="AT36" i="26"/>
  <c r="Y36" i="26"/>
  <c r="AT37" i="26"/>
  <c r="AT38" i="26"/>
  <c r="Y37" i="26"/>
  <c r="Y38" i="26"/>
  <c r="AT40" i="26"/>
  <c r="Y40" i="26"/>
  <c r="Y41" i="26"/>
  <c r="AT41" i="26"/>
  <c r="AT42" i="26"/>
  <c r="Y42" i="26"/>
  <c r="AT43" i="26"/>
  <c r="Y43" i="26"/>
  <c r="AT44" i="26"/>
  <c r="Y44" i="26"/>
  <c r="AT45" i="26"/>
  <c r="AT46" i="26"/>
  <c r="Y45" i="26"/>
  <c r="Y46" i="26"/>
  <c r="AT47" i="26"/>
  <c r="AT48" i="26"/>
  <c r="Y48" i="26"/>
  <c r="Y47" i="26"/>
  <c r="AT49" i="26"/>
  <c r="Y49" i="26"/>
  <c r="AT50" i="26"/>
  <c r="AT51" i="26"/>
  <c r="Y51" i="26"/>
  <c r="Y50" i="26"/>
  <c r="AT52" i="26"/>
  <c r="Y52" i="26"/>
  <c r="AT53" i="26"/>
  <c r="AT54" i="26"/>
  <c r="Y53" i="26"/>
  <c r="Y54" i="26"/>
  <c r="AT55" i="26"/>
  <c r="AT56" i="26"/>
  <c r="Y55" i="26"/>
  <c r="AT57" i="26"/>
  <c r="Y57" i="26"/>
  <c r="Y56" i="26"/>
  <c r="AT58" i="26"/>
  <c r="Y58" i="26"/>
  <c r="AT60" i="26"/>
  <c r="Y60" i="26"/>
  <c r="AT61" i="26"/>
  <c r="Y61" i="26"/>
  <c r="AT62" i="26"/>
  <c r="Y62" i="26"/>
  <c r="AT63" i="26"/>
  <c r="Y63" i="26"/>
  <c r="Y64" i="26"/>
  <c r="AT64" i="26"/>
  <c r="AT65" i="26"/>
  <c r="Y65" i="26"/>
  <c r="AT66" i="26"/>
  <c r="Y67" i="26"/>
  <c r="AT67" i="26"/>
  <c r="Y66" i="26"/>
  <c r="AT69" i="26"/>
  <c r="AT68" i="26"/>
  <c r="Y68" i="26"/>
  <c r="Y69" i="26"/>
  <c r="AT70" i="26"/>
  <c r="Y70" i="26"/>
  <c r="AT71" i="26"/>
  <c r="AT72" i="26"/>
  <c r="Y71" i="26"/>
  <c r="AT73" i="26"/>
  <c r="Y72" i="26"/>
  <c r="Y73" i="26"/>
  <c r="AT74" i="26"/>
  <c r="Y75" i="26"/>
  <c r="Y74" i="26"/>
  <c r="AT75" i="26"/>
  <c r="AT76" i="26"/>
  <c r="Y76" i="26"/>
  <c r="AT77" i="26"/>
  <c r="Y77" i="26"/>
  <c r="AT78" i="26"/>
  <c r="Y78" i="26"/>
  <c r="AT80" i="26"/>
  <c r="Y80" i="26"/>
  <c r="AT81" i="26"/>
  <c r="AT82" i="26"/>
  <c r="Y82" i="26"/>
  <c r="Y81" i="26"/>
  <c r="AT83" i="26"/>
  <c r="Y83" i="26"/>
  <c r="Y84" i="26"/>
  <c r="AT84" i="26"/>
  <c r="AT85" i="26"/>
  <c r="Y85" i="26"/>
  <c r="AT86" i="26"/>
  <c r="AT87" i="26"/>
  <c r="Y86" i="26"/>
  <c r="AT88" i="26"/>
  <c r="Y88" i="26"/>
  <c r="Y87" i="26"/>
  <c r="AT89" i="26"/>
  <c r="Y89" i="26"/>
  <c r="AT90" i="26"/>
  <c r="Y91" i="26"/>
  <c r="Y90" i="26"/>
  <c r="AT91" i="26"/>
  <c r="AT92" i="26"/>
  <c r="AT93" i="26"/>
  <c r="Y93" i="26"/>
  <c r="Y92" i="26"/>
  <c r="AT94" i="26"/>
  <c r="AT95" i="26"/>
  <c r="Y94" i="26"/>
  <c r="AT96" i="26"/>
  <c r="Y95" i="26"/>
  <c r="Y96" i="26"/>
  <c r="AT97" i="26"/>
  <c r="AT98" i="26"/>
  <c r="Y98" i="26"/>
  <c r="Y97" i="26"/>
  <c r="AT99" i="26"/>
  <c r="Y99" i="26"/>
  <c r="Y100" i="26"/>
  <c r="AT100" i="26"/>
  <c r="AT101" i="26"/>
  <c r="Y101" i="26"/>
  <c r="AT102" i="26"/>
  <c r="AT103" i="26"/>
  <c r="Y102" i="26"/>
  <c r="Y103" i="26"/>
  <c r="AT104" i="26"/>
  <c r="Y105" i="26"/>
  <c r="Y104" i="26"/>
  <c r="AT105" i="26"/>
  <c r="AT106" i="26"/>
  <c r="Y106" i="26"/>
  <c r="AT107" i="26"/>
  <c r="Y108" i="26"/>
  <c r="AT108" i="26"/>
  <c r="Y107" i="26"/>
  <c r="AT109" i="26"/>
  <c r="Y109" i="26"/>
  <c r="AT110" i="26"/>
  <c r="Y110" i="26"/>
  <c r="AT111" i="26"/>
  <c r="AT112" i="26"/>
  <c r="Y111" i="26"/>
  <c r="Y112" i="26"/>
  <c r="AT113" i="26"/>
  <c r="Y113" i="26"/>
  <c r="AT114" i="26"/>
  <c r="Y114" i="26"/>
  <c r="AT115" i="26"/>
  <c r="Y116" i="26"/>
  <c r="Y115" i="26"/>
  <c r="AT116" i="26"/>
  <c r="AT117" i="26"/>
  <c r="Y117" i="26"/>
  <c r="AT118" i="26"/>
  <c r="Y118" i="26"/>
  <c r="AT119" i="26"/>
  <c r="AT120" i="26"/>
  <c r="Y119" i="26"/>
  <c r="AT121" i="26"/>
  <c r="Y120" i="26"/>
  <c r="AT122" i="26"/>
  <c r="Y121" i="26"/>
  <c r="D23" i="26"/>
  <c r="Y123" i="26"/>
  <c r="Y122" i="26"/>
  <c r="AT123" i="26"/>
  <c r="Y125" i="26"/>
  <c r="Z23" i="26"/>
  <c r="AT124" i="26"/>
  <c r="Y124" i="26"/>
  <c r="AT125" i="26"/>
  <c r="G133" i="7"/>
  <c r="CZ15" i="17"/>
  <c r="DA15" i="17"/>
  <c r="DC15" i="17"/>
  <c r="DC14" i="17"/>
  <c r="CZ14" i="17"/>
  <c r="DA14" i="17"/>
  <c r="G10" i="8"/>
  <c r="J87" i="7"/>
  <c r="J107" i="7"/>
  <c r="C36" i="8"/>
  <c r="J131" i="7"/>
  <c r="G69" i="7"/>
  <c r="AR15" i="17"/>
  <c r="AO15" i="17"/>
  <c r="AO14" i="17"/>
  <c r="AP14" i="17"/>
  <c r="AP15" i="17"/>
  <c r="Q17" i="17"/>
  <c r="Q14" i="17"/>
  <c r="Q15" i="17"/>
  <c r="O15" i="17"/>
  <c r="O14" i="17"/>
  <c r="P14" i="17"/>
  <c r="P15" i="17"/>
  <c r="P16" i="17"/>
  <c r="P17" i="17"/>
  <c r="G17" i="17"/>
  <c r="F19" i="17"/>
  <c r="F18" i="17"/>
  <c r="F17" i="17"/>
  <c r="G15" i="17"/>
  <c r="F14" i="17"/>
  <c r="F15" i="17"/>
  <c r="E15" i="17"/>
  <c r="E14" i="17"/>
  <c r="BC15" i="6"/>
  <c r="BC14" i="6"/>
  <c r="BC13" i="6"/>
  <c r="BD15" i="6"/>
  <c r="BD14" i="6"/>
  <c r="BB15" i="6"/>
  <c r="BB14" i="6"/>
  <c r="AT14" i="6"/>
  <c r="AT15" i="6"/>
  <c r="AS14" i="6"/>
  <c r="AS15" i="6"/>
  <c r="AR15" i="6"/>
  <c r="AR14" i="6"/>
  <c r="AJ14" i="6"/>
  <c r="AJ15" i="6"/>
  <c r="AI15" i="6"/>
  <c r="AI14" i="6"/>
  <c r="AH15" i="6"/>
  <c r="AH14" i="6"/>
  <c r="Z15" i="6"/>
  <c r="Y14" i="6"/>
  <c r="Y15" i="6"/>
  <c r="X15" i="6"/>
  <c r="X14" i="6"/>
  <c r="P15" i="6"/>
  <c r="P14" i="6"/>
  <c r="F15" i="6"/>
  <c r="O15" i="6"/>
  <c r="O14" i="6"/>
  <c r="N15" i="6"/>
  <c r="N14" i="6"/>
  <c r="J108" i="7"/>
  <c r="J88" i="7"/>
  <c r="J68" i="7"/>
  <c r="J67" i="7"/>
  <c r="Z14" i="6"/>
  <c r="J47" i="7"/>
  <c r="J46" i="7"/>
  <c r="E15" i="6"/>
  <c r="D15" i="6"/>
  <c r="E14" i="6"/>
  <c r="D14" i="6"/>
  <c r="AR14" i="17"/>
  <c r="J26" i="7"/>
  <c r="J25" i="7"/>
  <c r="J34" i="7"/>
  <c r="F14" i="6"/>
  <c r="G14" i="17"/>
  <c r="DA17" i="17"/>
  <c r="M4" i="8"/>
  <c r="AA27" i="17"/>
  <c r="AB27" i="17"/>
  <c r="AC27" i="17"/>
  <c r="AD27" i="17"/>
  <c r="AE27" i="17"/>
  <c r="AF27" i="17"/>
  <c r="AG27" i="17"/>
  <c r="AH27" i="17"/>
  <c r="AI27" i="17"/>
  <c r="AJ27" i="17"/>
  <c r="AK27" i="17"/>
  <c r="AL27" i="17"/>
  <c r="AN27" i="17"/>
  <c r="AO27" i="17"/>
  <c r="AD26" i="17"/>
  <c r="AE26" i="17"/>
  <c r="AF26" i="17"/>
  <c r="AG26" i="17"/>
  <c r="AH26" i="17"/>
  <c r="AI26" i="17"/>
  <c r="AJ26" i="17"/>
  <c r="AK26" i="17"/>
  <c r="AL26" i="17"/>
  <c r="AM26" i="17"/>
  <c r="AN26" i="17"/>
  <c r="AP26" i="17"/>
  <c r="E10" i="17"/>
  <c r="O10" i="17"/>
  <c r="F13" i="17"/>
  <c r="P13" i="17"/>
  <c r="F16" i="17"/>
  <c r="P18" i="17"/>
  <c r="P19" i="17"/>
  <c r="F22" i="17"/>
  <c r="G22" i="17"/>
  <c r="P22" i="17"/>
  <c r="Q22" i="17"/>
  <c r="D25" i="17"/>
  <c r="E25" i="17"/>
  <c r="N25" i="17"/>
  <c r="O25" i="17"/>
  <c r="G4" i="8"/>
  <c r="H4" i="8"/>
  <c r="R25" i="17"/>
  <c r="H25" i="17"/>
  <c r="G28" i="7"/>
  <c r="G27" i="7"/>
  <c r="CZ26" i="17"/>
  <c r="CM26" i="17"/>
  <c r="CL26" i="17"/>
  <c r="AB26" i="17"/>
  <c r="AA26" i="17"/>
  <c r="AO26" i="17"/>
  <c r="D24" i="13"/>
  <c r="E24" i="13"/>
  <c r="D23" i="13"/>
  <c r="E23" i="13"/>
  <c r="D16" i="13"/>
  <c r="E16" i="13"/>
  <c r="D28" i="13"/>
  <c r="D21" i="13"/>
  <c r="D19" i="13"/>
  <c r="E19" i="13"/>
  <c r="A19" i="13"/>
  <c r="D18" i="13"/>
  <c r="E7" i="13"/>
  <c r="E8" i="13"/>
  <c r="E9" i="13"/>
  <c r="J33" i="7"/>
  <c r="J12" i="7"/>
  <c r="DC19" i="17"/>
  <c r="DA19" i="17"/>
  <c r="DA16" i="17"/>
  <c r="DA13" i="17"/>
  <c r="X25" i="17"/>
  <c r="Y13" i="6"/>
  <c r="Y16" i="6"/>
  <c r="Y17" i="6"/>
  <c r="E13" i="6"/>
  <c r="E16" i="6"/>
  <c r="E17" i="6"/>
  <c r="E18" i="6"/>
  <c r="E19" i="6"/>
  <c r="H17" i="8"/>
  <c r="G122" i="7"/>
  <c r="G127" i="7"/>
  <c r="G134" i="7"/>
  <c r="G5" i="8"/>
  <c r="BB10" i="6"/>
  <c r="CJ10" i="17"/>
  <c r="CI25" i="17"/>
  <c r="CJ25" i="17" s="1"/>
  <c r="DB25" i="17"/>
  <c r="DC22" i="17"/>
  <c r="CZ22" i="17"/>
  <c r="CY22" i="17"/>
  <c r="CW22" i="17"/>
  <c r="CV22" i="17"/>
  <c r="CU22" i="17"/>
  <c r="CT22" i="17"/>
  <c r="CS22" i="17"/>
  <c r="CR22" i="17"/>
  <c r="CP22" i="17"/>
  <c r="CO22" i="17"/>
  <c r="CM22" i="17"/>
  <c r="CL22" i="17"/>
  <c r="CK22" i="17"/>
  <c r="DA12" i="17"/>
  <c r="G8" i="8"/>
  <c r="H8" i="8"/>
  <c r="H7" i="8"/>
  <c r="I6" i="8"/>
  <c r="H15" i="8"/>
  <c r="H10" i="8"/>
  <c r="C37" i="8"/>
  <c r="J28" i="7"/>
  <c r="F17" i="6"/>
  <c r="J121" i="7"/>
  <c r="J117" i="7"/>
  <c r="D15" i="13"/>
  <c r="J94" i="7"/>
  <c r="J74" i="7"/>
  <c r="J54" i="7"/>
  <c r="J39" i="7"/>
  <c r="J124" i="7"/>
  <c r="J100" i="7"/>
  <c r="J80" i="7"/>
  <c r="J60" i="7"/>
  <c r="J18" i="7"/>
  <c r="K6" i="7"/>
  <c r="K5" i="7"/>
  <c r="S29" i="26"/>
  <c r="AI27" i="6"/>
  <c r="Y27" i="6"/>
  <c r="BC27" i="6"/>
  <c r="E27" i="6"/>
  <c r="O27" i="6"/>
  <c r="AS27" i="6"/>
  <c r="CX27" i="17"/>
  <c r="DD25" i="17"/>
  <c r="J128" i="7"/>
  <c r="L128" i="7"/>
  <c r="J127" i="7"/>
  <c r="J126" i="7"/>
  <c r="D22" i="13"/>
  <c r="G123" i="7"/>
  <c r="G63" i="7"/>
  <c r="BD19" i="6"/>
  <c r="BC19" i="6"/>
  <c r="BC17" i="6"/>
  <c r="BC16" i="6"/>
  <c r="J130" i="7"/>
  <c r="J106" i="7"/>
  <c r="M127" i="7"/>
  <c r="J134" i="7"/>
  <c r="J125" i="7"/>
  <c r="J122" i="7"/>
  <c r="J120" i="7"/>
  <c r="D17" i="13"/>
  <c r="J119" i="7"/>
  <c r="J116" i="7"/>
  <c r="D14" i="13"/>
  <c r="L115" i="7"/>
  <c r="BA25" i="6"/>
  <c r="BD22" i="6"/>
  <c r="S23" i="26"/>
  <c r="AO29" i="26"/>
  <c r="BB25" i="6"/>
  <c r="AM27" i="17"/>
  <c r="CX22" i="17"/>
  <c r="J123" i="7"/>
  <c r="L123" i="7"/>
  <c r="B21" i="13"/>
  <c r="BD13" i="6"/>
  <c r="DC13" i="17"/>
  <c r="BD17" i="6"/>
  <c r="DC17" i="17"/>
  <c r="J133" i="7"/>
  <c r="L116" i="7"/>
  <c r="AO23" i="26"/>
  <c r="BD16" i="6"/>
  <c r="DC16" i="17"/>
  <c r="BE25" i="6"/>
  <c r="D144" i="18"/>
  <c r="Q135" i="18"/>
  <c r="Q134" i="18"/>
  <c r="Q130" i="18"/>
  <c r="D143" i="18"/>
  <c r="Q126" i="18"/>
  <c r="Q125" i="18"/>
  <c r="I107" i="18"/>
  <c r="B107" i="18"/>
  <c r="J107" i="18"/>
  <c r="K107" i="18"/>
  <c r="M107" i="18"/>
  <c r="N107" i="18"/>
  <c r="J102" i="18"/>
  <c r="K102" i="18"/>
  <c r="M102" i="18"/>
  <c r="K101" i="18"/>
  <c r="M101" i="18"/>
  <c r="N101" i="18"/>
  <c r="D146" i="18"/>
  <c r="D145" i="18"/>
  <c r="D107" i="18"/>
  <c r="E15" i="13"/>
  <c r="N47" i="21"/>
  <c r="O47" i="21"/>
  <c r="F47" i="21"/>
  <c r="G47" i="21"/>
  <c r="L39" i="21"/>
  <c r="N39" i="21"/>
  <c r="O39" i="21"/>
  <c r="J39" i="21"/>
  <c r="B39" i="21"/>
  <c r="D39" i="21"/>
  <c r="F39" i="21"/>
  <c r="G39" i="21"/>
  <c r="L31" i="21"/>
  <c r="N31" i="21"/>
  <c r="O31" i="21"/>
  <c r="J31" i="21"/>
  <c r="I31" i="21"/>
  <c r="C31" i="21"/>
  <c r="B31" i="21"/>
  <c r="D31" i="21"/>
  <c r="F31" i="21"/>
  <c r="G31" i="21"/>
  <c r="R28" i="21"/>
  <c r="K26" i="21"/>
  <c r="L26" i="21"/>
  <c r="N26" i="21"/>
  <c r="C26" i="21"/>
  <c r="D26" i="21"/>
  <c r="F26" i="21"/>
  <c r="R25" i="21"/>
  <c r="L25" i="21"/>
  <c r="N25" i="21"/>
  <c r="D25" i="21"/>
  <c r="F25" i="21"/>
  <c r="G25" i="21"/>
  <c r="J18" i="21"/>
  <c r="I18" i="21"/>
  <c r="C18" i="21"/>
  <c r="B18" i="21"/>
  <c r="D18" i="21"/>
  <c r="F18" i="21"/>
  <c r="G18" i="21"/>
  <c r="R15" i="21"/>
  <c r="C12" i="21"/>
  <c r="D12" i="21"/>
  <c r="F12" i="21"/>
  <c r="R11" i="21"/>
  <c r="K11" i="21"/>
  <c r="L11" i="21"/>
  <c r="N11" i="21"/>
  <c r="D11" i="21"/>
  <c r="F11" i="21"/>
  <c r="O25" i="21"/>
  <c r="G11" i="21"/>
  <c r="D50" i="21"/>
  <c r="K12" i="21"/>
  <c r="K18" i="21"/>
  <c r="L18" i="21"/>
  <c r="N18" i="21"/>
  <c r="O18" i="21"/>
  <c r="L12" i="21"/>
  <c r="N12" i="21"/>
  <c r="O11" i="21"/>
  <c r="L50" i="21"/>
  <c r="O17" i="6"/>
  <c r="B31" i="18"/>
  <c r="B30" i="18"/>
  <c r="B23" i="18"/>
  <c r="D18" i="18"/>
  <c r="D19" i="18"/>
  <c r="D20" i="18"/>
  <c r="D9" i="18"/>
  <c r="D8" i="18"/>
  <c r="D7" i="18"/>
  <c r="B12" i="18"/>
  <c r="D12" i="18"/>
  <c r="F12" i="18"/>
  <c r="B73" i="18"/>
  <c r="D69" i="18"/>
  <c r="F136" i="18"/>
  <c r="G136" i="18"/>
  <c r="B128" i="18"/>
  <c r="B120" i="18"/>
  <c r="D101" i="18"/>
  <c r="C120" i="18"/>
  <c r="D114" i="18"/>
  <c r="C115" i="18"/>
  <c r="D115" i="18"/>
  <c r="F115" i="18"/>
  <c r="F101" i="18"/>
  <c r="C107" i="18"/>
  <c r="C102" i="18"/>
  <c r="D102" i="18"/>
  <c r="F102" i="18"/>
  <c r="D128" i="18"/>
  <c r="F128" i="18"/>
  <c r="G128" i="18"/>
  <c r="B81" i="18"/>
  <c r="B82" i="18"/>
  <c r="G101" i="18"/>
  <c r="D147" i="18"/>
  <c r="D120" i="18"/>
  <c r="F120" i="18"/>
  <c r="G120" i="18"/>
  <c r="F114" i="18"/>
  <c r="G114" i="18"/>
  <c r="F107" i="18"/>
  <c r="G107" i="18"/>
  <c r="F70" i="18"/>
  <c r="C40" i="18"/>
  <c r="C39" i="18"/>
  <c r="C38" i="18"/>
  <c r="D139" i="18"/>
  <c r="D141" i="18"/>
  <c r="F69" i="18"/>
  <c r="G69" i="18"/>
  <c r="D82" i="18"/>
  <c r="F82" i="18"/>
  <c r="D81" i="18"/>
  <c r="F81" i="18"/>
  <c r="D73" i="18"/>
  <c r="F73" i="18"/>
  <c r="G73" i="18"/>
  <c r="D30" i="18"/>
  <c r="F30" i="18"/>
  <c r="D31" i="18"/>
  <c r="F31" i="18"/>
  <c r="D23" i="18"/>
  <c r="F9" i="18"/>
  <c r="G81" i="18"/>
  <c r="D87" i="18"/>
  <c r="F23" i="18"/>
  <c r="G23" i="18"/>
  <c r="B40" i="18"/>
  <c r="D40" i="18"/>
  <c r="F40" i="18"/>
  <c r="B39" i="18"/>
  <c r="D39" i="18"/>
  <c r="F39" i="18"/>
  <c r="B38" i="18"/>
  <c r="D38" i="18"/>
  <c r="F38" i="18"/>
  <c r="G30" i="18"/>
  <c r="F18" i="18"/>
  <c r="F19" i="18"/>
  <c r="F20" i="18"/>
  <c r="F8" i="18"/>
  <c r="F7" i="18"/>
  <c r="G8" i="9"/>
  <c r="F8" i="9"/>
  <c r="E8" i="9"/>
  <c r="G103" i="7"/>
  <c r="G83" i="7"/>
  <c r="G38" i="18"/>
  <c r="G7" i="18"/>
  <c r="G18" i="18"/>
  <c r="G12" i="18"/>
  <c r="D49" i="18"/>
  <c r="J19" i="7"/>
  <c r="J101" i="7"/>
  <c r="M120" i="7"/>
  <c r="J61" i="7"/>
  <c r="J40" i="7"/>
  <c r="J81" i="7"/>
  <c r="E6" i="13"/>
  <c r="N19" i="7"/>
  <c r="E6" i="10"/>
  <c r="F6" i="10"/>
  <c r="E7" i="10"/>
  <c r="F7" i="10"/>
  <c r="E6" i="11"/>
  <c r="F6" i="11"/>
  <c r="K4" i="7"/>
  <c r="K3" i="7"/>
  <c r="K7" i="7"/>
  <c r="G7" i="10"/>
  <c r="AD22" i="17"/>
  <c r="AE22" i="17"/>
  <c r="AG22" i="17"/>
  <c r="AH22" i="17"/>
  <c r="AI22" i="17"/>
  <c r="AJ22" i="17"/>
  <c r="AK22" i="17"/>
  <c r="AL22" i="17"/>
  <c r="AN22" i="17"/>
  <c r="AO22" i="17"/>
  <c r="Z22" i="17"/>
  <c r="AA22" i="17"/>
  <c r="AB22" i="17"/>
  <c r="B26" i="17"/>
  <c r="BY25" i="17"/>
  <c r="BO25" i="17"/>
  <c r="C25" i="17"/>
  <c r="CB22" i="17"/>
  <c r="CA22" i="17"/>
  <c r="BR22" i="17"/>
  <c r="BQ22" i="17"/>
  <c r="AR22" i="17"/>
  <c r="CB19" i="17"/>
  <c r="CA19" i="17"/>
  <c r="BQ19" i="17"/>
  <c r="AP19" i="17"/>
  <c r="CA17" i="17"/>
  <c r="BQ17" i="17"/>
  <c r="AP17" i="17"/>
  <c r="CA16" i="17"/>
  <c r="BQ16" i="17"/>
  <c r="AP16" i="17"/>
  <c r="CA13" i="17"/>
  <c r="BQ13" i="17"/>
  <c r="AP13" i="17"/>
  <c r="BZ10" i="17"/>
  <c r="BP10" i="17"/>
  <c r="Y10" i="17"/>
  <c r="K25" i="17"/>
  <c r="U25" i="17"/>
  <c r="L25" i="17"/>
  <c r="V25" i="17"/>
  <c r="J25" i="17"/>
  <c r="T25" i="17"/>
  <c r="S25" i="17"/>
  <c r="I25" i="17"/>
  <c r="CI26" i="17"/>
  <c r="CJ26" i="17" s="1"/>
  <c r="DB26" i="17"/>
  <c r="D26" i="17"/>
  <c r="E26" i="17"/>
  <c r="N26" i="17"/>
  <c r="O26" i="17"/>
  <c r="BW25" i="17"/>
  <c r="DX25" i="17"/>
  <c r="DE25" i="17"/>
  <c r="DF25" i="17"/>
  <c r="X26" i="17"/>
  <c r="Y26" i="17" s="1"/>
  <c r="AM22" i="17"/>
  <c r="BT25" i="17"/>
  <c r="C26" i="17"/>
  <c r="BM25" i="17"/>
  <c r="AT25" i="17"/>
  <c r="B27" i="17"/>
  <c r="BO26" i="17"/>
  <c r="BY26" i="17"/>
  <c r="BZ26" i="17"/>
  <c r="CG25" i="17"/>
  <c r="BP25" i="17"/>
  <c r="BZ25" i="17"/>
  <c r="CE25" i="17"/>
  <c r="CF25" i="17"/>
  <c r="BV25" i="17"/>
  <c r="CD25" i="17"/>
  <c r="BS25" i="17"/>
  <c r="K26" i="17"/>
  <c r="U26" i="17"/>
  <c r="L26" i="17"/>
  <c r="V26" i="17"/>
  <c r="M25" i="17"/>
  <c r="W25" i="17"/>
  <c r="S26" i="17"/>
  <c r="R26" i="17"/>
  <c r="CI27" i="17"/>
  <c r="I26" i="17"/>
  <c r="H26" i="17"/>
  <c r="BI27" i="17"/>
  <c r="DS27" i="17"/>
  <c r="DG26" i="17"/>
  <c r="DG22" i="17"/>
  <c r="DW47" i="17"/>
  <c r="DO47" i="17"/>
  <c r="DU46" i="17"/>
  <c r="DM46" i="17"/>
  <c r="DS45" i="17"/>
  <c r="DK45" i="17"/>
  <c r="DQ44" i="17"/>
  <c r="DW43" i="17"/>
  <c r="DO43" i="17"/>
  <c r="DU42" i="17"/>
  <c r="DM42" i="17"/>
  <c r="DS41" i="17"/>
  <c r="DK41" i="17"/>
  <c r="DQ40" i="17"/>
  <c r="DW39" i="17"/>
  <c r="DO39" i="17"/>
  <c r="DU38" i="17"/>
  <c r="DM38" i="17"/>
  <c r="DS37" i="17"/>
  <c r="DK37" i="17"/>
  <c r="DQ36" i="17"/>
  <c r="DW35" i="17"/>
  <c r="DO35" i="17"/>
  <c r="DU34" i="17"/>
  <c r="DM34" i="17"/>
  <c r="DS33" i="17"/>
  <c r="DK33" i="17"/>
  <c r="DQ32" i="17"/>
  <c r="DW31" i="17"/>
  <c r="DO31" i="17"/>
  <c r="DU30" i="17"/>
  <c r="DM30" i="17"/>
  <c r="DS29" i="17"/>
  <c r="DK29" i="17"/>
  <c r="DQ28" i="17"/>
  <c r="DM27" i="17"/>
  <c r="DT26" i="17"/>
  <c r="DL26" i="17"/>
  <c r="DU37" i="17"/>
  <c r="DO30" i="17"/>
  <c r="DN26" i="17"/>
  <c r="DV47" i="17"/>
  <c r="DN47" i="17"/>
  <c r="DT46" i="17"/>
  <c r="DL46" i="17"/>
  <c r="DR45" i="17"/>
  <c r="DP44" i="17"/>
  <c r="DV43" i="17"/>
  <c r="DN43" i="17"/>
  <c r="DT42" i="17"/>
  <c r="DL42" i="17"/>
  <c r="DR41" i="17"/>
  <c r="DP40" i="17"/>
  <c r="DV39" i="17"/>
  <c r="DN39" i="17"/>
  <c r="DT38" i="17"/>
  <c r="DL38" i="17"/>
  <c r="DR37" i="17"/>
  <c r="DP36" i="17"/>
  <c r="DV35" i="17"/>
  <c r="DN35" i="17"/>
  <c r="DT34" i="17"/>
  <c r="DL34" i="17"/>
  <c r="DR33" i="17"/>
  <c r="DP32" i="17"/>
  <c r="DV31" i="17"/>
  <c r="DN31" i="17"/>
  <c r="DT30" i="17"/>
  <c r="DL30" i="17"/>
  <c r="DR29" i="17"/>
  <c r="DP28" i="17"/>
  <c r="DV27" i="17"/>
  <c r="DL27" i="17"/>
  <c r="DS26" i="17"/>
  <c r="DK26" i="17"/>
  <c r="DO46" i="17"/>
  <c r="DQ43" i="17"/>
  <c r="DK40" i="17"/>
  <c r="DS36" i="17"/>
  <c r="DM33" i="17"/>
  <c r="DS28" i="17"/>
  <c r="DU47" i="17"/>
  <c r="DM47" i="17"/>
  <c r="DS46" i="17"/>
  <c r="DK46" i="17"/>
  <c r="DQ45" i="17"/>
  <c r="DW44" i="17"/>
  <c r="DO44" i="17"/>
  <c r="DU43" i="17"/>
  <c r="DM43" i="17"/>
  <c r="DS42" i="17"/>
  <c r="DK42" i="17"/>
  <c r="DQ41" i="17"/>
  <c r="DW40" i="17"/>
  <c r="DO40" i="17"/>
  <c r="DU39" i="17"/>
  <c r="DM39" i="17"/>
  <c r="DS38" i="17"/>
  <c r="DK38" i="17"/>
  <c r="DQ37" i="17"/>
  <c r="DW36" i="17"/>
  <c r="DO36" i="17"/>
  <c r="DU35" i="17"/>
  <c r="DM35" i="17"/>
  <c r="DS34" i="17"/>
  <c r="DK34" i="17"/>
  <c r="DQ33" i="17"/>
  <c r="DW32" i="17"/>
  <c r="DO32" i="17"/>
  <c r="DU31" i="17"/>
  <c r="DM31" i="17"/>
  <c r="DS30" i="17"/>
  <c r="DK30" i="17"/>
  <c r="DQ29" i="17"/>
  <c r="DW28" i="17"/>
  <c r="DO28" i="17"/>
  <c r="DU27" i="17"/>
  <c r="DK27" i="17"/>
  <c r="DR26" i="17"/>
  <c r="DM45" i="17"/>
  <c r="DU41" i="17"/>
  <c r="DO38" i="17"/>
  <c r="DW34" i="17"/>
  <c r="DK32" i="17"/>
  <c r="DM29" i="17"/>
  <c r="DT47" i="17"/>
  <c r="DL47" i="17"/>
  <c r="DR46" i="17"/>
  <c r="DP45" i="17"/>
  <c r="DV44" i="17"/>
  <c r="DN44" i="17"/>
  <c r="DT43" i="17"/>
  <c r="DL43" i="17"/>
  <c r="DR42" i="17"/>
  <c r="DP41" i="17"/>
  <c r="DV40" i="17"/>
  <c r="DN40" i="17"/>
  <c r="DT39" i="17"/>
  <c r="DL39" i="17"/>
  <c r="DR38" i="17"/>
  <c r="DP37" i="17"/>
  <c r="DV36" i="17"/>
  <c r="DN36" i="17"/>
  <c r="DT35" i="17"/>
  <c r="DL35" i="17"/>
  <c r="DR34" i="17"/>
  <c r="DP33" i="17"/>
  <c r="DV32" i="17"/>
  <c r="DN32" i="17"/>
  <c r="DT31" i="17"/>
  <c r="DL31" i="17"/>
  <c r="DR30" i="17"/>
  <c r="DP29" i="17"/>
  <c r="DV28" i="17"/>
  <c r="DN28" i="17"/>
  <c r="DR27" i="17"/>
  <c r="DT27" i="17"/>
  <c r="DQ26" i="17"/>
  <c r="DI26" i="17"/>
  <c r="DI22" i="17"/>
  <c r="DQ47" i="17"/>
  <c r="DS44" i="17"/>
  <c r="DS40" i="17"/>
  <c r="DQ35" i="17"/>
  <c r="DQ31" i="17"/>
  <c r="DO27" i="17"/>
  <c r="DS47" i="17"/>
  <c r="DK47" i="17"/>
  <c r="DQ46" i="17"/>
  <c r="DW45" i="17"/>
  <c r="DO45" i="17"/>
  <c r="DU44" i="17"/>
  <c r="DM44" i="17"/>
  <c r="DS43" i="17"/>
  <c r="DK43" i="17"/>
  <c r="DQ42" i="17"/>
  <c r="DW41" i="17"/>
  <c r="DO41" i="17"/>
  <c r="DU40" i="17"/>
  <c r="DM40" i="17"/>
  <c r="DS39" i="17"/>
  <c r="DK39" i="17"/>
  <c r="DQ38" i="17"/>
  <c r="DW37" i="17"/>
  <c r="DO37" i="17"/>
  <c r="DU36" i="17"/>
  <c r="DM36" i="17"/>
  <c r="DS35" i="17"/>
  <c r="DK35" i="17"/>
  <c r="DQ34" i="17"/>
  <c r="DW33" i="17"/>
  <c r="DO33" i="17"/>
  <c r="DU32" i="17"/>
  <c r="DM32" i="17"/>
  <c r="DS31" i="17"/>
  <c r="DK31" i="17"/>
  <c r="DQ30" i="17"/>
  <c r="DW29" i="17"/>
  <c r="DO29" i="17"/>
  <c r="DU28" i="17"/>
  <c r="DM28" i="17"/>
  <c r="DQ27" i="17"/>
  <c r="DX26" i="17"/>
  <c r="DP26" i="17"/>
  <c r="DH26" i="17"/>
  <c r="DH22" i="17"/>
  <c r="DW46" i="17"/>
  <c r="DU45" i="17"/>
  <c r="DW42" i="17"/>
  <c r="DO42" i="17"/>
  <c r="DQ39" i="17"/>
  <c r="DW38" i="17"/>
  <c r="DK36" i="17"/>
  <c r="DU33" i="17"/>
  <c r="DW30" i="17"/>
  <c r="DK28" i="17"/>
  <c r="DR47" i="17"/>
  <c r="DP46" i="17"/>
  <c r="DV45" i="17"/>
  <c r="DN45" i="17"/>
  <c r="DT44" i="17"/>
  <c r="DL44" i="17"/>
  <c r="DR43" i="17"/>
  <c r="DP42" i="17"/>
  <c r="DV41" i="17"/>
  <c r="DN41" i="17"/>
  <c r="DT40" i="17"/>
  <c r="DL40" i="17"/>
  <c r="DR39" i="17"/>
  <c r="DP38" i="17"/>
  <c r="DV37" i="17"/>
  <c r="DN37" i="17"/>
  <c r="DT36" i="17"/>
  <c r="DL36" i="17"/>
  <c r="DR35" i="17"/>
  <c r="DP34" i="17"/>
  <c r="DV33" i="17"/>
  <c r="DN33" i="17"/>
  <c r="DT32" i="17"/>
  <c r="DL32" i="17"/>
  <c r="DR31" i="17"/>
  <c r="DP30" i="17"/>
  <c r="DV29" i="17"/>
  <c r="DN29" i="17"/>
  <c r="DT28" i="17"/>
  <c r="DL28" i="17"/>
  <c r="DP27" i="17"/>
  <c r="DW26" i="17"/>
  <c r="DO26" i="17"/>
  <c r="DK44" i="17"/>
  <c r="DM41" i="17"/>
  <c r="DM37" i="17"/>
  <c r="DO34" i="17"/>
  <c r="DS32" i="17"/>
  <c r="DU29" i="17"/>
  <c r="DV26" i="17"/>
  <c r="DP47" i="17"/>
  <c r="DV46" i="17"/>
  <c r="DN46" i="17"/>
  <c r="DT45" i="17"/>
  <c r="DL45" i="17"/>
  <c r="DR44" i="17"/>
  <c r="DP43" i="17"/>
  <c r="DV42" i="17"/>
  <c r="DN42" i="17"/>
  <c r="DT41" i="17"/>
  <c r="DL41" i="17"/>
  <c r="DR40" i="17"/>
  <c r="DP39" i="17"/>
  <c r="DV38" i="17"/>
  <c r="DN38" i="17"/>
  <c r="DT37" i="17"/>
  <c r="DL37" i="17"/>
  <c r="DR36" i="17"/>
  <c r="DP35" i="17"/>
  <c r="DV34" i="17"/>
  <c r="DN34" i="17"/>
  <c r="DT33" i="17"/>
  <c r="DL33" i="17"/>
  <c r="DR32" i="17"/>
  <c r="DP31" i="17"/>
  <c r="DV30" i="17"/>
  <c r="DN30" i="17"/>
  <c r="DT29" i="17"/>
  <c r="DL29" i="17"/>
  <c r="DR28" i="17"/>
  <c r="DN27" i="17"/>
  <c r="DU26" i="17"/>
  <c r="DM26" i="17"/>
  <c r="BH27" i="17"/>
  <c r="CF26" i="17"/>
  <c r="DE26" i="17"/>
  <c r="DF26" i="17"/>
  <c r="DY25" i="17"/>
  <c r="BM26" i="17"/>
  <c r="BT26" i="17"/>
  <c r="CE26" i="17"/>
  <c r="AT26" i="17"/>
  <c r="BV26" i="17"/>
  <c r="BC27" i="17"/>
  <c r="BG27" i="17"/>
  <c r="BK27" i="17"/>
  <c r="BC28" i="17"/>
  <c r="BG28" i="17"/>
  <c r="BK28" i="17"/>
  <c r="BB29" i="17"/>
  <c r="BF29" i="17"/>
  <c r="BJ29" i="17"/>
  <c r="BA30" i="17"/>
  <c r="BE30" i="17"/>
  <c r="BI30" i="17"/>
  <c r="AZ31" i="17"/>
  <c r="BD31" i="17"/>
  <c r="BH31" i="17"/>
  <c r="BL31" i="17"/>
  <c r="BC32" i="17"/>
  <c r="BG32" i="17"/>
  <c r="BK32" i="17"/>
  <c r="BB33" i="17"/>
  <c r="BF33" i="17"/>
  <c r="BJ33" i="17"/>
  <c r="BA34" i="17"/>
  <c r="BE34" i="17"/>
  <c r="BI34" i="17"/>
  <c r="AZ35" i="17"/>
  <c r="BD35" i="17"/>
  <c r="BH35" i="17"/>
  <c r="BL35" i="17"/>
  <c r="BC36" i="17"/>
  <c r="BG36" i="17"/>
  <c r="BK36" i="17"/>
  <c r="BB37" i="17"/>
  <c r="BF37" i="17"/>
  <c r="BJ37" i="17"/>
  <c r="BA38" i="17"/>
  <c r="BE38" i="17"/>
  <c r="BI38" i="17"/>
  <c r="AZ39" i="17"/>
  <c r="BD39" i="17"/>
  <c r="BH39" i="17"/>
  <c r="BL39" i="17"/>
  <c r="BC40" i="17"/>
  <c r="BG40" i="17"/>
  <c r="BK40" i="17"/>
  <c r="BB41" i="17"/>
  <c r="BF41" i="17"/>
  <c r="BJ41" i="17"/>
  <c r="BA42" i="17"/>
  <c r="BE42" i="17"/>
  <c r="BI42" i="17"/>
  <c r="AZ43" i="17"/>
  <c r="BD43" i="17"/>
  <c r="BH43" i="17"/>
  <c r="BL43" i="17"/>
  <c r="BC44" i="17"/>
  <c r="BG44" i="17"/>
  <c r="BK44" i="17"/>
  <c r="BB45" i="17"/>
  <c r="BF45" i="17"/>
  <c r="BJ45" i="17"/>
  <c r="BA46" i="17"/>
  <c r="BE46" i="17"/>
  <c r="BI46" i="17"/>
  <c r="AZ47" i="17"/>
  <c r="BD47" i="17"/>
  <c r="BH47" i="17"/>
  <c r="BL47" i="17"/>
  <c r="BC26" i="17"/>
  <c r="BG26" i="17"/>
  <c r="BK26" i="17"/>
  <c r="BD27" i="17"/>
  <c r="AZ28" i="17"/>
  <c r="BD28" i="17"/>
  <c r="BH28" i="17"/>
  <c r="BL28" i="17"/>
  <c r="BC29" i="17"/>
  <c r="BG29" i="17"/>
  <c r="BK29" i="17"/>
  <c r="BB30" i="17"/>
  <c r="AZ27" i="17"/>
  <c r="BE27" i="17"/>
  <c r="BA28" i="17"/>
  <c r="BE28" i="17"/>
  <c r="BI28" i="17"/>
  <c r="AZ29" i="17"/>
  <c r="BD29" i="17"/>
  <c r="BH29" i="17"/>
  <c r="BL29" i="17"/>
  <c r="BC30" i="17"/>
  <c r="BG30" i="17"/>
  <c r="BK30" i="17"/>
  <c r="BB31" i="17"/>
  <c r="BF31" i="17"/>
  <c r="BJ31" i="17"/>
  <c r="BA32" i="17"/>
  <c r="BE32" i="17"/>
  <c r="BI32" i="17"/>
  <c r="AZ33" i="17"/>
  <c r="BD33" i="17"/>
  <c r="BH33" i="17"/>
  <c r="BL33" i="17"/>
  <c r="BC34" i="17"/>
  <c r="BG34" i="17"/>
  <c r="BK34" i="17"/>
  <c r="BB35" i="17"/>
  <c r="BF35" i="17"/>
  <c r="BJ35" i="17"/>
  <c r="BA36" i="17"/>
  <c r="BE36" i="17"/>
  <c r="BI36" i="17"/>
  <c r="AZ37" i="17"/>
  <c r="BD37" i="17"/>
  <c r="BH37" i="17"/>
  <c r="BL37" i="17"/>
  <c r="BC38" i="17"/>
  <c r="BG38" i="17"/>
  <c r="BK38" i="17"/>
  <c r="BB39" i="17"/>
  <c r="BF39" i="17"/>
  <c r="BJ39" i="17"/>
  <c r="BA40" i="17"/>
  <c r="BE40" i="17"/>
  <c r="BI40" i="17"/>
  <c r="AZ41" i="17"/>
  <c r="BD41" i="17"/>
  <c r="BH41" i="17"/>
  <c r="BL41" i="17"/>
  <c r="BC42" i="17"/>
  <c r="BG42" i="17"/>
  <c r="BK42" i="17"/>
  <c r="BB43" i="17"/>
  <c r="BF43" i="17"/>
  <c r="BJ43" i="17"/>
  <c r="BA44" i="17"/>
  <c r="BE44" i="17"/>
  <c r="BI44" i="17"/>
  <c r="AZ45" i="17"/>
  <c r="BD45" i="17"/>
  <c r="BH45" i="17"/>
  <c r="BL45" i="17"/>
  <c r="BC46" i="17"/>
  <c r="BG46" i="17"/>
  <c r="BK46" i="17"/>
  <c r="BB47" i="17"/>
  <c r="BF47" i="17"/>
  <c r="BJ47" i="17"/>
  <c r="BA26" i="17"/>
  <c r="BE26" i="17"/>
  <c r="BI26" i="17"/>
  <c r="BA27" i="17"/>
  <c r="BF27" i="17"/>
  <c r="BJ27" i="17"/>
  <c r="BB28" i="17"/>
  <c r="BF28" i="17"/>
  <c r="BJ28" i="17"/>
  <c r="BA29" i="17"/>
  <c r="BE29" i="17"/>
  <c r="BI29" i="17"/>
  <c r="AZ30" i="17"/>
  <c r="BD30" i="17"/>
  <c r="BJ30" i="17"/>
  <c r="BE31" i="17"/>
  <c r="AZ32" i="17"/>
  <c r="BH32" i="17"/>
  <c r="BC33" i="17"/>
  <c r="BK33" i="17"/>
  <c r="BF34" i="17"/>
  <c r="BA35" i="17"/>
  <c r="BI35" i="17"/>
  <c r="BD36" i="17"/>
  <c r="BL36" i="17"/>
  <c r="BG37" i="17"/>
  <c r="BB38" i="17"/>
  <c r="BJ38" i="17"/>
  <c r="BE39" i="17"/>
  <c r="AZ40" i="17"/>
  <c r="BH40" i="17"/>
  <c r="BC41" i="17"/>
  <c r="BK41" i="17"/>
  <c r="BF42" i="17"/>
  <c r="BA43" i="17"/>
  <c r="BI43" i="17"/>
  <c r="BD44" i="17"/>
  <c r="BL44" i="17"/>
  <c r="BG45" i="17"/>
  <c r="BB46" i="17"/>
  <c r="BJ46" i="17"/>
  <c r="BE47" i="17"/>
  <c r="AZ26" i="17"/>
  <c r="BH26" i="17"/>
  <c r="BL30" i="17"/>
  <c r="BG31" i="17"/>
  <c r="BB32" i="17"/>
  <c r="BJ32" i="17"/>
  <c r="BE33" i="17"/>
  <c r="AZ34" i="17"/>
  <c r="BH34" i="17"/>
  <c r="BC35" i="17"/>
  <c r="BK35" i="17"/>
  <c r="BF36" i="17"/>
  <c r="BA37" i="17"/>
  <c r="BI37" i="17"/>
  <c r="BD38" i="17"/>
  <c r="BL38" i="17"/>
  <c r="BG39" i="17"/>
  <c r="BB40" i="17"/>
  <c r="BJ40" i="17"/>
  <c r="BE41" i="17"/>
  <c r="AZ42" i="17"/>
  <c r="BH42" i="17"/>
  <c r="BC43" i="17"/>
  <c r="BK43" i="17"/>
  <c r="BF44" i="17"/>
  <c r="BA45" i="17"/>
  <c r="BI45" i="17"/>
  <c r="BD46" i="17"/>
  <c r="BL46" i="17"/>
  <c r="BG47" i="17"/>
  <c r="BB26" i="17"/>
  <c r="BJ26" i="17"/>
  <c r="BF30" i="17"/>
  <c r="BA31" i="17"/>
  <c r="BI31" i="17"/>
  <c r="BD32" i="17"/>
  <c r="BL32" i="17"/>
  <c r="BG33" i="17"/>
  <c r="BB34" i="17"/>
  <c r="BJ34" i="17"/>
  <c r="BE35" i="17"/>
  <c r="AZ36" i="17"/>
  <c r="BH36" i="17"/>
  <c r="BC37" i="17"/>
  <c r="BK37" i="17"/>
  <c r="BF38" i="17"/>
  <c r="BA39" i="17"/>
  <c r="BI39" i="17"/>
  <c r="BD40" i="17"/>
  <c r="BL40" i="17"/>
  <c r="BG41" i="17"/>
  <c r="BB42" i="17"/>
  <c r="BJ42" i="17"/>
  <c r="BE43" i="17"/>
  <c r="AZ44" i="17"/>
  <c r="BH44" i="17"/>
  <c r="BC45" i="17"/>
  <c r="BK45" i="17"/>
  <c r="BF46" i="17"/>
  <c r="BA47" i="17"/>
  <c r="BI47" i="17"/>
  <c r="BD26" i="17"/>
  <c r="BL26" i="17"/>
  <c r="BH30" i="17"/>
  <c r="BC31" i="17"/>
  <c r="BK31" i="17"/>
  <c r="BF32" i="17"/>
  <c r="BA33" i="17"/>
  <c r="BI33" i="17"/>
  <c r="BD34" i="17"/>
  <c r="BL34" i="17"/>
  <c r="BG35" i="17"/>
  <c r="BB36" i="17"/>
  <c r="BJ36" i="17"/>
  <c r="BE37" i="17"/>
  <c r="AZ38" i="17"/>
  <c r="BH38" i="17"/>
  <c r="BC39" i="17"/>
  <c r="BK39" i="17"/>
  <c r="BF40" i="17"/>
  <c r="BA41" i="17"/>
  <c r="BI41" i="17"/>
  <c r="BD42" i="17"/>
  <c r="BL42" i="17"/>
  <c r="BG43" i="17"/>
  <c r="BB44" i="17"/>
  <c r="BJ44" i="17"/>
  <c r="BE45" i="17"/>
  <c r="AZ46" i="17"/>
  <c r="BH46" i="17"/>
  <c r="BC47" i="17"/>
  <c r="BK47" i="17"/>
  <c r="BF26" i="17"/>
  <c r="B28" i="17"/>
  <c r="BP26" i="17"/>
  <c r="BU26" i="17"/>
  <c r="AW26" i="17"/>
  <c r="AW22" i="17"/>
  <c r="C27" i="17"/>
  <c r="BW27" i="17"/>
  <c r="AV26" i="17"/>
  <c r="AV22" i="17"/>
  <c r="AX26" i="17"/>
  <c r="BW26" i="17"/>
  <c r="CG26" i="17"/>
  <c r="CD26" i="17"/>
  <c r="BU25" i="17"/>
  <c r="BX25" i="17"/>
  <c r="CC25" i="17"/>
  <c r="CC26" i="17"/>
  <c r="CH25" i="17"/>
  <c r="B25" i="6"/>
  <c r="DE27" i="17"/>
  <c r="CJ27" i="17"/>
  <c r="DB27" i="17"/>
  <c r="DX27" i="17"/>
  <c r="DO22" i="17"/>
  <c r="DQ22" i="17"/>
  <c r="DS22" i="17"/>
  <c r="J26" i="17"/>
  <c r="DN22" i="17"/>
  <c r="T26" i="17"/>
  <c r="K27" i="17"/>
  <c r="U27" i="17"/>
  <c r="L27" i="17"/>
  <c r="V27" i="17"/>
  <c r="DU22" i="17"/>
  <c r="DV22" i="17"/>
  <c r="DR22" i="17"/>
  <c r="DL22" i="17"/>
  <c r="DT22" i="17"/>
  <c r="DP22" i="17"/>
  <c r="BY28" i="17"/>
  <c r="D28" i="17"/>
  <c r="E28" i="17"/>
  <c r="N28" i="17"/>
  <c r="O28" i="17"/>
  <c r="DK22" i="17"/>
  <c r="BM27" i="17"/>
  <c r="DM22" i="17"/>
  <c r="CI28" i="17"/>
  <c r="CJ28" i="17" s="1"/>
  <c r="X28" i="17"/>
  <c r="Y28" i="17" s="1"/>
  <c r="B26" i="6"/>
  <c r="B27" i="6"/>
  <c r="BI25" i="6"/>
  <c r="BH25" i="6"/>
  <c r="BF25" i="6"/>
  <c r="BG25" i="6"/>
  <c r="AZ22" i="17"/>
  <c r="B29" i="17"/>
  <c r="B30" i="17"/>
  <c r="BO28" i="17"/>
  <c r="BA22" i="17"/>
  <c r="AX22" i="17"/>
  <c r="C28" i="17"/>
  <c r="BD22" i="17"/>
  <c r="BH22" i="17"/>
  <c r="CG27" i="17"/>
  <c r="CH26" i="17"/>
  <c r="BF22" i="17"/>
  <c r="BI22" i="17"/>
  <c r="BK22" i="17"/>
  <c r="BJ22" i="17"/>
  <c r="BE22" i="17"/>
  <c r="BG22" i="17"/>
  <c r="BC22" i="17"/>
  <c r="AU26" i="17"/>
  <c r="BX26" i="17"/>
  <c r="BS26" i="17"/>
  <c r="BV27" i="17"/>
  <c r="CF27" i="17"/>
  <c r="E28" i="13"/>
  <c r="E25" i="13"/>
  <c r="E22" i="13"/>
  <c r="E21" i="13"/>
  <c r="E18" i="13"/>
  <c r="E17" i="13"/>
  <c r="E14" i="13"/>
  <c r="DF27" i="17"/>
  <c r="C29" i="17"/>
  <c r="K28" i="17"/>
  <c r="U28" i="17"/>
  <c r="L28" i="17"/>
  <c r="V28" i="17"/>
  <c r="S28" i="17"/>
  <c r="T28" i="17"/>
  <c r="D30" i="17"/>
  <c r="E30" i="17"/>
  <c r="N30" i="17"/>
  <c r="O30" i="17"/>
  <c r="D29" i="17"/>
  <c r="E29" i="17"/>
  <c r="N29" i="17"/>
  <c r="O29" i="17"/>
  <c r="I28" i="17"/>
  <c r="J28" i="17"/>
  <c r="BY29" i="17"/>
  <c r="CD29" i="17"/>
  <c r="W26" i="17"/>
  <c r="M26" i="17"/>
  <c r="CG28" i="17"/>
  <c r="CG29" i="17"/>
  <c r="CD28" i="17"/>
  <c r="BV28" i="17"/>
  <c r="C30" i="17"/>
  <c r="BV30" i="17"/>
  <c r="BT28" i="17"/>
  <c r="X29" i="17"/>
  <c r="Y29" i="17" s="1"/>
  <c r="AT29" i="17"/>
  <c r="CI29" i="17"/>
  <c r="CJ29" i="17" s="1"/>
  <c r="X30" i="17"/>
  <c r="Y30" i="17" s="1"/>
  <c r="CI30" i="17"/>
  <c r="CJ30" i="17" s="1"/>
  <c r="CF28" i="17"/>
  <c r="BW28" i="17"/>
  <c r="BV29" i="17"/>
  <c r="CF29" i="17"/>
  <c r="DE28" i="17"/>
  <c r="BO29" i="17"/>
  <c r="BI26" i="6"/>
  <c r="BJ25" i="6"/>
  <c r="AT28" i="17"/>
  <c r="E30" i="13"/>
  <c r="X27" i="17"/>
  <c r="Y27" i="17" s="1"/>
  <c r="BB27" i="17"/>
  <c r="BO30" i="17"/>
  <c r="B31" i="17"/>
  <c r="BY30" i="17"/>
  <c r="CG30" i="17"/>
  <c r="CF30" i="17"/>
  <c r="C31" i="17"/>
  <c r="BT29" i="17"/>
  <c r="H28" i="17"/>
  <c r="R28" i="17"/>
  <c r="W28" i="17"/>
  <c r="S29" i="17"/>
  <c r="BW30" i="17"/>
  <c r="K30" i="17"/>
  <c r="U30" i="17"/>
  <c r="L30" i="17"/>
  <c r="V30" i="17"/>
  <c r="I29" i="17"/>
  <c r="J29" i="17"/>
  <c r="BW29" i="17"/>
  <c r="K29" i="17"/>
  <c r="U29" i="17"/>
  <c r="L29" i="17"/>
  <c r="V29" i="17"/>
  <c r="D31" i="17"/>
  <c r="E31" i="17"/>
  <c r="N31" i="17"/>
  <c r="O31" i="17"/>
  <c r="S30" i="17"/>
  <c r="T30" i="17"/>
  <c r="I30" i="17"/>
  <c r="J30" i="17"/>
  <c r="K31" i="17"/>
  <c r="U31" i="17"/>
  <c r="L31" i="17"/>
  <c r="V31" i="17"/>
  <c r="M28" i="17"/>
  <c r="DE29" i="17"/>
  <c r="DB28" i="17"/>
  <c r="DF28" i="17"/>
  <c r="DE30" i="17"/>
  <c r="X31" i="17"/>
  <c r="Y31" i="17" s="1"/>
  <c r="CI31" i="17"/>
  <c r="CJ31" i="17" s="1"/>
  <c r="B28" i="6"/>
  <c r="BI27" i="6"/>
  <c r="BH27" i="6"/>
  <c r="BB22" i="17"/>
  <c r="CD30" i="17"/>
  <c r="BY31" i="17"/>
  <c r="BO31" i="17"/>
  <c r="B32" i="17"/>
  <c r="AT30" i="17"/>
  <c r="BT30" i="17"/>
  <c r="C32" i="17"/>
  <c r="CG31" i="17"/>
  <c r="CF31" i="17"/>
  <c r="BW31" i="17"/>
  <c r="BV31" i="17"/>
  <c r="G98" i="7"/>
  <c r="G78" i="7"/>
  <c r="G58" i="7"/>
  <c r="G37" i="7"/>
  <c r="G48" i="7"/>
  <c r="G49" i="7"/>
  <c r="DD28" i="17"/>
  <c r="T29" i="17"/>
  <c r="W29" i="17"/>
  <c r="M30" i="17"/>
  <c r="H30" i="17"/>
  <c r="H29" i="17"/>
  <c r="R29" i="17"/>
  <c r="D32" i="17"/>
  <c r="E32" i="17"/>
  <c r="N32" i="17"/>
  <c r="O32" i="17"/>
  <c r="K32" i="17"/>
  <c r="U32" i="17"/>
  <c r="L32" i="17"/>
  <c r="V32" i="17"/>
  <c r="S31" i="17"/>
  <c r="T31" i="17"/>
  <c r="M29" i="17"/>
  <c r="W30" i="17"/>
  <c r="I31" i="17"/>
  <c r="J31" i="17"/>
  <c r="R30" i="17"/>
  <c r="DB30" i="17"/>
  <c r="DX30" i="17"/>
  <c r="DF30" i="17"/>
  <c r="X32" i="17"/>
  <c r="CI32" i="17"/>
  <c r="CJ32" i="17" s="1"/>
  <c r="DE31" i="17"/>
  <c r="DX28" i="17"/>
  <c r="DY28" i="17"/>
  <c r="DB29" i="17"/>
  <c r="DX29" i="17"/>
  <c r="DF29" i="17"/>
  <c r="G110" i="7"/>
  <c r="G109" i="7"/>
  <c r="G89" i="7"/>
  <c r="G90" i="7"/>
  <c r="J49" i="7"/>
  <c r="P17" i="6"/>
  <c r="G70" i="7"/>
  <c r="B29" i="6"/>
  <c r="BI28" i="6"/>
  <c r="BH28" i="6"/>
  <c r="AT27" i="17"/>
  <c r="BT31" i="17"/>
  <c r="CD31" i="17"/>
  <c r="AT31" i="17"/>
  <c r="BY32" i="17"/>
  <c r="BO32" i="17"/>
  <c r="B33" i="17"/>
  <c r="CG32" i="17"/>
  <c r="CF32" i="17"/>
  <c r="C33" i="17"/>
  <c r="BW32" i="17"/>
  <c r="BV32" i="17"/>
  <c r="DY29" i="17"/>
  <c r="DY30" i="17"/>
  <c r="DD30" i="17"/>
  <c r="W31" i="17"/>
  <c r="M31" i="17"/>
  <c r="R31" i="17"/>
  <c r="K33" i="17"/>
  <c r="U33" i="17"/>
  <c r="L33" i="17"/>
  <c r="V33" i="17"/>
  <c r="H31" i="17"/>
  <c r="S32" i="17"/>
  <c r="T32" i="17"/>
  <c r="I32" i="17"/>
  <c r="J32" i="17"/>
  <c r="D33" i="17"/>
  <c r="E33" i="17"/>
  <c r="N33" i="17"/>
  <c r="O33" i="17"/>
  <c r="DE32" i="17"/>
  <c r="DB31" i="17"/>
  <c r="DX31" i="17"/>
  <c r="DF31" i="17"/>
  <c r="X33" i="17"/>
  <c r="Y33" i="17" s="1"/>
  <c r="CI33" i="17"/>
  <c r="CJ33" i="17" s="1"/>
  <c r="DD29" i="17"/>
  <c r="B30" i="6"/>
  <c r="BI29" i="6"/>
  <c r="BH29" i="6"/>
  <c r="CF33" i="17"/>
  <c r="BV33" i="17"/>
  <c r="CG33" i="17"/>
  <c r="C34" i="17"/>
  <c r="BW33" i="17"/>
  <c r="BT32" i="17"/>
  <c r="AT32" i="17"/>
  <c r="CD32" i="17"/>
  <c r="B34" i="17"/>
  <c r="BY33" i="17"/>
  <c r="BO33" i="17"/>
  <c r="E4" i="11"/>
  <c r="E5"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3" i="11"/>
  <c r="E4" i="10"/>
  <c r="E5"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80" i="10"/>
  <c r="E81" i="10"/>
  <c r="E82" i="10"/>
  <c r="E83" i="10"/>
  <c r="E84" i="10"/>
  <c r="E85" i="10"/>
  <c r="E86" i="10"/>
  <c r="E87" i="10"/>
  <c r="E88" i="10"/>
  <c r="E89" i="10"/>
  <c r="E90" i="10"/>
  <c r="E91" i="10"/>
  <c r="E92" i="10"/>
  <c r="E93" i="10"/>
  <c r="E94" i="10"/>
  <c r="E99" i="10"/>
  <c r="E100" i="10"/>
  <c r="E3" i="10"/>
  <c r="DY31" i="17"/>
  <c r="M32" i="17"/>
  <c r="H32" i="17"/>
  <c r="DD31" i="17"/>
  <c r="S33" i="17"/>
  <c r="T33" i="17"/>
  <c r="I33" i="17"/>
  <c r="J33" i="17"/>
  <c r="W32" i="17"/>
  <c r="K34" i="17"/>
  <c r="U34" i="17"/>
  <c r="L34" i="17"/>
  <c r="V34" i="17"/>
  <c r="R32" i="17"/>
  <c r="D34" i="17"/>
  <c r="E34" i="17"/>
  <c r="N34" i="17"/>
  <c r="O34" i="17"/>
  <c r="DB32" i="17"/>
  <c r="DD32" i="17"/>
  <c r="DF32" i="17"/>
  <c r="DE33" i="17"/>
  <c r="X34" i="17"/>
  <c r="Y34" i="17" s="1"/>
  <c r="CI34" i="17"/>
  <c r="CJ34" i="17" s="1"/>
  <c r="B31" i="6"/>
  <c r="BI30" i="6"/>
  <c r="BH30" i="6"/>
  <c r="BT33" i="17"/>
  <c r="CD33" i="17"/>
  <c r="B35" i="17"/>
  <c r="BY34" i="17"/>
  <c r="BO34" i="17"/>
  <c r="CG34" i="17"/>
  <c r="BW34" i="17"/>
  <c r="C35" i="17"/>
  <c r="BV34" i="17"/>
  <c r="CF34" i="17"/>
  <c r="AT33" i="17"/>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5" i="11"/>
  <c r="G6" i="11"/>
  <c r="F4" i="11"/>
  <c r="F3" i="11"/>
  <c r="F100" i="10"/>
  <c r="F99" i="10"/>
  <c r="C95" i="10"/>
  <c r="F94" i="10"/>
  <c r="F93" i="10"/>
  <c r="F92" i="10"/>
  <c r="F91" i="10"/>
  <c r="F90" i="10"/>
  <c r="F89" i="10"/>
  <c r="F88" i="10"/>
  <c r="F87" i="10"/>
  <c r="F86" i="10"/>
  <c r="F85" i="10"/>
  <c r="F84" i="10"/>
  <c r="F83" i="10"/>
  <c r="F82" i="10"/>
  <c r="F81" i="10"/>
  <c r="F80" i="10"/>
  <c r="C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5" i="10"/>
  <c r="G6" i="10"/>
  <c r="F4" i="10"/>
  <c r="F3" i="10"/>
  <c r="AR10" i="6"/>
  <c r="AH10" i="6"/>
  <c r="X10" i="6"/>
  <c r="N10" i="6"/>
  <c r="D10" i="6"/>
  <c r="M101" i="7"/>
  <c r="H33" i="17"/>
  <c r="W33" i="17"/>
  <c r="R33" i="17"/>
  <c r="D35" i="17"/>
  <c r="E35" i="17"/>
  <c r="N35" i="17"/>
  <c r="O35" i="17"/>
  <c r="S34" i="17"/>
  <c r="T34" i="17"/>
  <c r="I34" i="17"/>
  <c r="J34" i="17"/>
  <c r="K35" i="17"/>
  <c r="U35" i="17"/>
  <c r="L35" i="17"/>
  <c r="V35" i="17"/>
  <c r="M33" i="17"/>
  <c r="X35" i="17"/>
  <c r="Y35" i="17" s="1"/>
  <c r="CI35" i="17"/>
  <c r="CJ35" i="17" s="1"/>
  <c r="DE34" i="17"/>
  <c r="DB33" i="17"/>
  <c r="DX33" i="17"/>
  <c r="DF33" i="17"/>
  <c r="DX32" i="17"/>
  <c r="DY32" i="17"/>
  <c r="B32" i="6"/>
  <c r="BI31" i="6"/>
  <c r="BH31" i="6"/>
  <c r="E95" i="10"/>
  <c r="F95" i="10"/>
  <c r="G95" i="10"/>
  <c r="C45" i="10"/>
  <c r="E44" i="10"/>
  <c r="F44" i="10"/>
  <c r="C36" i="17"/>
  <c r="CF35" i="17"/>
  <c r="BV35" i="17"/>
  <c r="BW35" i="17"/>
  <c r="CG35" i="17"/>
  <c r="BO35" i="17"/>
  <c r="B36" i="17"/>
  <c r="BY35" i="17"/>
  <c r="AT34" i="17"/>
  <c r="BT34" i="17"/>
  <c r="CD34" i="17"/>
  <c r="G8" i="10"/>
  <c r="G12" i="10"/>
  <c r="G40" i="10"/>
  <c r="G81" i="10"/>
  <c r="G93" i="10"/>
  <c r="G42" i="10"/>
  <c r="G83" i="10"/>
  <c r="G87" i="10"/>
  <c r="G10" i="10"/>
  <c r="G91" i="10"/>
  <c r="G17" i="10"/>
  <c r="G85" i="10"/>
  <c r="G19" i="10"/>
  <c r="G23" i="10"/>
  <c r="G27" i="10"/>
  <c r="G31" i="10"/>
  <c r="G21" i="10"/>
  <c r="G25" i="10"/>
  <c r="G29" i="10"/>
  <c r="G33" i="10"/>
  <c r="G5" i="10"/>
  <c r="G9" i="10"/>
  <c r="G13" i="10"/>
  <c r="G24" i="10"/>
  <c r="G28" i="10"/>
  <c r="G35" i="10"/>
  <c r="G39" i="10"/>
  <c r="G43" i="10"/>
  <c r="G84" i="10"/>
  <c r="G92" i="10"/>
  <c r="G89" i="10"/>
  <c r="G11" i="10"/>
  <c r="G15" i="10"/>
  <c r="G26" i="10"/>
  <c r="G37" i="10"/>
  <c r="G41" i="10"/>
  <c r="G44" i="10"/>
  <c r="G86" i="10"/>
  <c r="G4" i="10"/>
  <c r="G4" i="11"/>
  <c r="F45" i="11"/>
  <c r="F53" i="11"/>
  <c r="G18" i="11"/>
  <c r="G17" i="11"/>
  <c r="G22" i="11"/>
  <c r="G21" i="11"/>
  <c r="G38" i="11"/>
  <c r="G37" i="11"/>
  <c r="G42" i="11"/>
  <c r="G41" i="11"/>
  <c r="G34" i="11"/>
  <c r="G33" i="11"/>
  <c r="G26" i="11"/>
  <c r="G25" i="11"/>
  <c r="G14" i="11"/>
  <c r="G13" i="11"/>
  <c r="G30" i="11"/>
  <c r="G29" i="11"/>
  <c r="G11" i="11"/>
  <c r="G15" i="11"/>
  <c r="G19" i="11"/>
  <c r="G23" i="11"/>
  <c r="G27" i="11"/>
  <c r="G31" i="11"/>
  <c r="G35" i="11"/>
  <c r="G39" i="11"/>
  <c r="G43" i="11"/>
  <c r="F46" i="11"/>
  <c r="G10" i="11"/>
  <c r="F49" i="11"/>
  <c r="G7" i="11"/>
  <c r="F44" i="11"/>
  <c r="F50" i="11"/>
  <c r="G5" i="11"/>
  <c r="G8" i="11"/>
  <c r="G9" i="11"/>
  <c r="G12" i="11"/>
  <c r="G16" i="11"/>
  <c r="G20" i="11"/>
  <c r="G24" i="11"/>
  <c r="G28" i="11"/>
  <c r="G32" i="11"/>
  <c r="G36" i="11"/>
  <c r="G40" i="11"/>
  <c r="F48" i="11"/>
  <c r="F52" i="11"/>
  <c r="F47" i="11"/>
  <c r="F51" i="11"/>
  <c r="G14" i="10"/>
  <c r="G30" i="10"/>
  <c r="G20" i="10"/>
  <c r="G22" i="10"/>
  <c r="G36" i="10"/>
  <c r="G38" i="10"/>
  <c r="G82" i="10"/>
  <c r="G90" i="10"/>
  <c r="G16" i="10"/>
  <c r="G18" i="10"/>
  <c r="G32" i="10"/>
  <c r="G34" i="10"/>
  <c r="G88" i="10"/>
  <c r="G94" i="10"/>
  <c r="G100" i="10"/>
  <c r="C96" i="10"/>
  <c r="E96" i="10"/>
  <c r="M25" i="6"/>
  <c r="C25" i="6"/>
  <c r="D25" i="6"/>
  <c r="DY33" i="17"/>
  <c r="W34" i="17"/>
  <c r="R34" i="17"/>
  <c r="K36" i="17"/>
  <c r="U36" i="17"/>
  <c r="L36" i="17"/>
  <c r="V36" i="17"/>
  <c r="S35" i="17"/>
  <c r="T35" i="17"/>
  <c r="D36" i="17"/>
  <c r="E36" i="17"/>
  <c r="N36" i="17"/>
  <c r="O36" i="17"/>
  <c r="I35" i="17"/>
  <c r="J35" i="17"/>
  <c r="M34" i="17"/>
  <c r="H34" i="17"/>
  <c r="DB34" i="17"/>
  <c r="DX34" i="17"/>
  <c r="DF34" i="17"/>
  <c r="X36" i="17"/>
  <c r="Y36" i="17" s="1"/>
  <c r="CI36" i="17"/>
  <c r="CJ36" i="17" s="1"/>
  <c r="DE35" i="17"/>
  <c r="DD33" i="17"/>
  <c r="B33" i="6"/>
  <c r="BI32" i="6"/>
  <c r="BH32" i="6"/>
  <c r="C46" i="10"/>
  <c r="E45" i="10"/>
  <c r="F45" i="10"/>
  <c r="G45" i="10"/>
  <c r="G51" i="11"/>
  <c r="G45" i="11"/>
  <c r="G46" i="11"/>
  <c r="BT35" i="17"/>
  <c r="CG36" i="17"/>
  <c r="BW36" i="17"/>
  <c r="C37" i="17"/>
  <c r="CF36" i="17"/>
  <c r="BV36" i="17"/>
  <c r="CD35" i="17"/>
  <c r="AT35" i="17"/>
  <c r="B37" i="17"/>
  <c r="BY36" i="17"/>
  <c r="BO36" i="17"/>
  <c r="G49" i="11"/>
  <c r="G44" i="11"/>
  <c r="G47" i="11"/>
  <c r="G50" i="11"/>
  <c r="G52" i="11"/>
  <c r="G53" i="11"/>
  <c r="G48" i="11"/>
  <c r="F96" i="10"/>
  <c r="G96" i="10"/>
  <c r="C97" i="10"/>
  <c r="E97" i="10"/>
  <c r="AI13" i="6"/>
  <c r="AI16" i="6"/>
  <c r="AI17" i="6"/>
  <c r="AI19" i="6"/>
  <c r="AS13" i="6"/>
  <c r="AS16" i="6"/>
  <c r="AS17" i="6"/>
  <c r="AS19" i="6"/>
  <c r="AT19" i="6"/>
  <c r="AS12" i="6"/>
  <c r="Y19" i="6"/>
  <c r="O19" i="6"/>
  <c r="O13" i="6"/>
  <c r="O16" i="6"/>
  <c r="O18" i="6"/>
  <c r="G42" i="7"/>
  <c r="J42" i="7"/>
  <c r="G21" i="7"/>
  <c r="M126" i="7"/>
  <c r="J102" i="7"/>
  <c r="M122" i="7"/>
  <c r="J97" i="7"/>
  <c r="M117" i="7"/>
  <c r="J96" i="7"/>
  <c r="M116" i="7"/>
  <c r="M115" i="7"/>
  <c r="J93" i="7"/>
  <c r="J86" i="7"/>
  <c r="J82" i="7"/>
  <c r="M102" i="7"/>
  <c r="J77" i="7"/>
  <c r="M97" i="7"/>
  <c r="J76" i="7"/>
  <c r="M96" i="7"/>
  <c r="M95" i="7"/>
  <c r="M94" i="7"/>
  <c r="J73" i="7"/>
  <c r="M93" i="7"/>
  <c r="J66" i="7"/>
  <c r="Z13" i="6"/>
  <c r="J56" i="7"/>
  <c r="J57" i="7"/>
  <c r="J41" i="7"/>
  <c r="J37" i="7"/>
  <c r="J36" i="7"/>
  <c r="J35" i="7"/>
  <c r="J32" i="7"/>
  <c r="J43" i="7"/>
  <c r="J45" i="7"/>
  <c r="Q13" i="17"/>
  <c r="J20" i="7"/>
  <c r="DY34" i="17"/>
  <c r="D37" i="17"/>
  <c r="N37" i="17"/>
  <c r="W35" i="17"/>
  <c r="R35" i="17"/>
  <c r="I36" i="17"/>
  <c r="J36" i="17"/>
  <c r="M35" i="17"/>
  <c r="H35" i="17"/>
  <c r="K37" i="17"/>
  <c r="U37" i="17"/>
  <c r="L37" i="17"/>
  <c r="V37" i="17"/>
  <c r="S36" i="17"/>
  <c r="T36" i="17"/>
  <c r="DE36" i="17"/>
  <c r="DB35" i="17"/>
  <c r="DX35" i="17"/>
  <c r="DF35" i="17"/>
  <c r="X37" i="17"/>
  <c r="CI37" i="17"/>
  <c r="CJ37" i="17" s="1"/>
  <c r="DD34" i="17"/>
  <c r="L92" i="7"/>
  <c r="M92" i="7"/>
  <c r="B34" i="6"/>
  <c r="BI33" i="6"/>
  <c r="BH33" i="6"/>
  <c r="E46" i="10"/>
  <c r="F46" i="10"/>
  <c r="G46" i="10"/>
  <c r="C47" i="10"/>
  <c r="AT13" i="6"/>
  <c r="CB13" i="17"/>
  <c r="P13" i="6"/>
  <c r="BR12" i="17"/>
  <c r="AR13" i="17"/>
  <c r="AJ13" i="6"/>
  <c r="BR13" i="17"/>
  <c r="AT12" i="6"/>
  <c r="CB12" i="17"/>
  <c r="CD36" i="17"/>
  <c r="B38" i="17"/>
  <c r="BY37" i="17"/>
  <c r="BO37" i="17"/>
  <c r="AT36" i="17"/>
  <c r="CG37" i="17"/>
  <c r="BW37" i="17"/>
  <c r="BV37" i="17"/>
  <c r="CF37" i="17"/>
  <c r="C38" i="17"/>
  <c r="BT36" i="17"/>
  <c r="F97" i="10"/>
  <c r="G97" i="10"/>
  <c r="C98" i="10"/>
  <c r="J24" i="7"/>
  <c r="J11" i="7"/>
  <c r="N12" i="7"/>
  <c r="J15" i="7"/>
  <c r="N15" i="7"/>
  <c r="J13" i="7"/>
  <c r="N13" i="7"/>
  <c r="DY35" i="17"/>
  <c r="F13" i="6"/>
  <c r="G13" i="17"/>
  <c r="R36" i="17"/>
  <c r="W36" i="17"/>
  <c r="M36" i="17"/>
  <c r="H36" i="17"/>
  <c r="K38" i="17"/>
  <c r="U38" i="17"/>
  <c r="L38" i="17"/>
  <c r="V38" i="17"/>
  <c r="D38" i="17"/>
  <c r="E38" i="17"/>
  <c r="N38" i="17"/>
  <c r="O38" i="17"/>
  <c r="S37" i="17"/>
  <c r="I37" i="17"/>
  <c r="DB36" i="17"/>
  <c r="DX36" i="17"/>
  <c r="DF36" i="17"/>
  <c r="DE37" i="17"/>
  <c r="X38" i="17"/>
  <c r="Y38" i="17" s="1"/>
  <c r="CI38" i="17"/>
  <c r="CJ38" i="17" s="1"/>
  <c r="DD35" i="17"/>
  <c r="I25" i="6"/>
  <c r="B35" i="6"/>
  <c r="BI34" i="6"/>
  <c r="BH34" i="6"/>
  <c r="E98" i="10"/>
  <c r="F98" i="10"/>
  <c r="E47" i="10"/>
  <c r="F47" i="10"/>
  <c r="G47" i="10"/>
  <c r="C48" i="10"/>
  <c r="B39" i="17"/>
  <c r="BY38" i="17"/>
  <c r="BO38" i="17"/>
  <c r="AT37" i="17"/>
  <c r="BT37" i="17"/>
  <c r="BW38" i="17"/>
  <c r="CF38" i="17"/>
  <c r="C39" i="17"/>
  <c r="CG38" i="17"/>
  <c r="BV38" i="17"/>
  <c r="CD37" i="17"/>
  <c r="J14" i="7"/>
  <c r="N14" i="7"/>
  <c r="DY36" i="17"/>
  <c r="S38" i="17"/>
  <c r="T38" i="17"/>
  <c r="D39" i="17"/>
  <c r="E39" i="17"/>
  <c r="N39" i="17"/>
  <c r="O39" i="17"/>
  <c r="I38" i="17"/>
  <c r="J38" i="17"/>
  <c r="K39" i="17"/>
  <c r="U39" i="17"/>
  <c r="L39" i="17"/>
  <c r="V39" i="17"/>
  <c r="DB37" i="17"/>
  <c r="DX37" i="17"/>
  <c r="DF37" i="17"/>
  <c r="DE38" i="17"/>
  <c r="X39" i="17"/>
  <c r="Y39" i="17" s="1"/>
  <c r="CI39" i="17"/>
  <c r="CJ39" i="17" s="1"/>
  <c r="DD36" i="17"/>
  <c r="B36" i="6"/>
  <c r="BI35" i="6"/>
  <c r="BH35" i="6"/>
  <c r="G98" i="10"/>
  <c r="G99" i="10"/>
  <c r="E48" i="10"/>
  <c r="F48" i="10"/>
  <c r="G48" i="10"/>
  <c r="C49" i="10"/>
  <c r="BT38" i="17"/>
  <c r="AT38" i="17"/>
  <c r="C40" i="17"/>
  <c r="BW39" i="17"/>
  <c r="BV39" i="17"/>
  <c r="CG39" i="17"/>
  <c r="CF39" i="17"/>
  <c r="CD38" i="17"/>
  <c r="B40" i="17"/>
  <c r="BY39" i="17"/>
  <c r="BO39" i="17"/>
  <c r="H14" i="8"/>
  <c r="H13" i="8"/>
  <c r="H12" i="8"/>
  <c r="H11" i="8"/>
  <c r="H9" i="8"/>
  <c r="H5" i="8"/>
  <c r="AG25" i="6"/>
  <c r="AH25" i="6" s="1"/>
  <c r="AQ25" i="6"/>
  <c r="AR25" i="6" s="1"/>
  <c r="W25" i="6"/>
  <c r="X25" i="6" s="1"/>
  <c r="J103" i="7"/>
  <c r="M123" i="7"/>
  <c r="J98" i="7"/>
  <c r="J83" i="7"/>
  <c r="M103" i="7"/>
  <c r="J78" i="7"/>
  <c r="J63" i="7"/>
  <c r="J58" i="7"/>
  <c r="J21" i="7"/>
  <c r="J16" i="7"/>
  <c r="DY37" i="17"/>
  <c r="M38" i="17"/>
  <c r="H38" i="17"/>
  <c r="S39" i="17"/>
  <c r="T39" i="17"/>
  <c r="D40" i="17"/>
  <c r="E40" i="17"/>
  <c r="N40" i="17"/>
  <c r="O40" i="17"/>
  <c r="I39" i="17"/>
  <c r="J39" i="17"/>
  <c r="K40" i="17"/>
  <c r="U40" i="17"/>
  <c r="L40" i="17"/>
  <c r="V40" i="17"/>
  <c r="W38" i="17"/>
  <c r="R38" i="17"/>
  <c r="DB38" i="17"/>
  <c r="DX38" i="17"/>
  <c r="DF38" i="17"/>
  <c r="DD37" i="17"/>
  <c r="DE39" i="17"/>
  <c r="X40" i="17"/>
  <c r="Y40" i="17" s="1"/>
  <c r="CI40" i="17"/>
  <c r="CJ40" i="17" s="1"/>
  <c r="M98" i="7"/>
  <c r="M118" i="7"/>
  <c r="N16" i="7"/>
  <c r="L93" i="7"/>
  <c r="B37" i="6"/>
  <c r="BI36" i="6"/>
  <c r="BH36" i="6"/>
  <c r="N21" i="7"/>
  <c r="E49" i="10"/>
  <c r="F49" i="10"/>
  <c r="G49" i="10"/>
  <c r="C50" i="10"/>
  <c r="CD39" i="17"/>
  <c r="B41" i="17"/>
  <c r="BY40" i="17"/>
  <c r="BO40" i="17"/>
  <c r="CG40" i="17"/>
  <c r="BW40" i="17"/>
  <c r="CF40" i="17"/>
  <c r="C41" i="17"/>
  <c r="BV40" i="17"/>
  <c r="AT39" i="17"/>
  <c r="BT39" i="17"/>
  <c r="DY38" i="17"/>
  <c r="M39" i="17"/>
  <c r="H39" i="17"/>
  <c r="S40" i="17"/>
  <c r="T40" i="17"/>
  <c r="I40" i="17"/>
  <c r="J40" i="17"/>
  <c r="D41" i="17"/>
  <c r="E41" i="17"/>
  <c r="N41" i="17"/>
  <c r="O41" i="17"/>
  <c r="W39" i="17"/>
  <c r="K41" i="17"/>
  <c r="U41" i="17"/>
  <c r="L41" i="17"/>
  <c r="V41" i="17"/>
  <c r="R39" i="17"/>
  <c r="DB39" i="17"/>
  <c r="DX39" i="17"/>
  <c r="DF39" i="17"/>
  <c r="X41" i="17"/>
  <c r="Y41" i="17" s="1"/>
  <c r="CI41" i="17"/>
  <c r="CJ41" i="17" s="1"/>
  <c r="DE40" i="17"/>
  <c r="DD38" i="17"/>
  <c r="B38" i="6"/>
  <c r="BI37" i="6"/>
  <c r="BH37" i="6"/>
  <c r="E50" i="10"/>
  <c r="F50" i="10"/>
  <c r="G50" i="10"/>
  <c r="C51" i="10"/>
  <c r="AT40" i="17"/>
  <c r="BT40" i="17"/>
  <c r="CD40" i="17"/>
  <c r="BY41" i="17"/>
  <c r="BO41" i="17"/>
  <c r="B42" i="17"/>
  <c r="CG41" i="17"/>
  <c r="BW41" i="17"/>
  <c r="BV41" i="17"/>
  <c r="CF41" i="17"/>
  <c r="C42" i="17"/>
  <c r="J51" i="7"/>
  <c r="Q19" i="17"/>
  <c r="AY25" i="6"/>
  <c r="AX25" i="6"/>
  <c r="AV25" i="6"/>
  <c r="AT22" i="6"/>
  <c r="AO25" i="6"/>
  <c r="AN25" i="6"/>
  <c r="AL25" i="6"/>
  <c r="AJ22" i="6"/>
  <c r="J22" i="7"/>
  <c r="J64" i="7"/>
  <c r="J91" i="7"/>
  <c r="DD39" i="17"/>
  <c r="DY39" i="17"/>
  <c r="W40" i="17"/>
  <c r="M40" i="17"/>
  <c r="R40" i="17"/>
  <c r="H40" i="17"/>
  <c r="S41" i="17"/>
  <c r="T41" i="17"/>
  <c r="D42" i="17"/>
  <c r="E42" i="17"/>
  <c r="N42" i="17"/>
  <c r="O42" i="17"/>
  <c r="K42" i="17"/>
  <c r="U42" i="17"/>
  <c r="L42" i="17"/>
  <c r="V42" i="17"/>
  <c r="I41" i="17"/>
  <c r="J41" i="17"/>
  <c r="DE41" i="17"/>
  <c r="X42" i="17"/>
  <c r="CI42" i="17"/>
  <c r="CJ42" i="17" s="1"/>
  <c r="DB40" i="17"/>
  <c r="DX40" i="17"/>
  <c r="DF40" i="17"/>
  <c r="B39" i="6"/>
  <c r="BI38" i="6"/>
  <c r="BH38" i="6"/>
  <c r="N22" i="7"/>
  <c r="E51" i="10"/>
  <c r="F51" i="10"/>
  <c r="G51" i="10"/>
  <c r="C52" i="10"/>
  <c r="AJ19" i="6"/>
  <c r="BR19" i="17"/>
  <c r="P19" i="6"/>
  <c r="CF42" i="17"/>
  <c r="C43" i="17"/>
  <c r="BW42" i="17"/>
  <c r="BV42" i="17"/>
  <c r="CG42" i="17"/>
  <c r="AT41" i="17"/>
  <c r="BT41" i="17"/>
  <c r="CD41" i="17"/>
  <c r="BY42" i="17"/>
  <c r="BO42" i="17"/>
  <c r="B43" i="17"/>
  <c r="DY40" i="17"/>
  <c r="M41" i="17"/>
  <c r="H41" i="17"/>
  <c r="R41" i="17"/>
  <c r="W41" i="17"/>
  <c r="D43" i="17"/>
  <c r="E43" i="17"/>
  <c r="N43" i="17"/>
  <c r="O43" i="17"/>
  <c r="K43" i="17"/>
  <c r="U43" i="17"/>
  <c r="L43" i="17"/>
  <c r="V43" i="17"/>
  <c r="S42" i="17"/>
  <c r="T42" i="17"/>
  <c r="I42" i="17"/>
  <c r="J42" i="17"/>
  <c r="DE42" i="17"/>
  <c r="X43" i="17"/>
  <c r="Y43" i="17" s="1"/>
  <c r="CI43" i="17"/>
  <c r="CJ43" i="17" s="1"/>
  <c r="DB41" i="17"/>
  <c r="DX41" i="17"/>
  <c r="DF41" i="17"/>
  <c r="DD40" i="17"/>
  <c r="B40" i="6"/>
  <c r="BI39" i="6"/>
  <c r="BH39" i="6"/>
  <c r="E52" i="10"/>
  <c r="F52" i="10"/>
  <c r="G52" i="10"/>
  <c r="C53" i="10"/>
  <c r="BT42" i="17"/>
  <c r="CF43" i="17"/>
  <c r="C44" i="17"/>
  <c r="BW43" i="17"/>
  <c r="CG43" i="17"/>
  <c r="BV43" i="17"/>
  <c r="B44" i="17"/>
  <c r="BY43" i="17"/>
  <c r="BO43" i="17"/>
  <c r="AT42" i="17"/>
  <c r="CD42" i="17"/>
  <c r="AU25" i="6"/>
  <c r="AW25" i="6"/>
  <c r="AM25" i="6"/>
  <c r="AK25" i="6"/>
  <c r="DY41" i="17"/>
  <c r="H42" i="17"/>
  <c r="S43" i="17"/>
  <c r="T43" i="17"/>
  <c r="K44" i="17"/>
  <c r="U44" i="17"/>
  <c r="L44" i="17"/>
  <c r="V44" i="17"/>
  <c r="I43" i="17"/>
  <c r="J43" i="17"/>
  <c r="M42" i="17"/>
  <c r="W42" i="17"/>
  <c r="D44" i="17"/>
  <c r="E44" i="17"/>
  <c r="N44" i="17"/>
  <c r="O44" i="17"/>
  <c r="R42" i="17"/>
  <c r="DE43" i="17"/>
  <c r="X44" i="17"/>
  <c r="Y44" i="17" s="1"/>
  <c r="CI44" i="17"/>
  <c r="CJ44" i="17" s="1"/>
  <c r="DB42" i="17"/>
  <c r="DX42" i="17"/>
  <c r="DF42" i="17"/>
  <c r="DD41" i="17"/>
  <c r="B41" i="6"/>
  <c r="BI40" i="6"/>
  <c r="BH40" i="6"/>
  <c r="E53" i="10"/>
  <c r="F53" i="10"/>
  <c r="G53" i="10"/>
  <c r="C54" i="10"/>
  <c r="BT43" i="17"/>
  <c r="CD43" i="17"/>
  <c r="CG44" i="17"/>
  <c r="BW44" i="17"/>
  <c r="CF44" i="17"/>
  <c r="C45" i="17"/>
  <c r="BV44" i="17"/>
  <c r="AT43" i="17"/>
  <c r="B45" i="17"/>
  <c r="BY44" i="17"/>
  <c r="BO44" i="17"/>
  <c r="AZ25" i="6"/>
  <c r="AP25" i="6"/>
  <c r="DY42" i="17"/>
  <c r="S44" i="17"/>
  <c r="T44" i="17"/>
  <c r="I44" i="17"/>
  <c r="J44" i="17"/>
  <c r="D45" i="17"/>
  <c r="E45" i="17"/>
  <c r="N45" i="17"/>
  <c r="O45" i="17"/>
  <c r="K45" i="17"/>
  <c r="U45" i="17"/>
  <c r="L45" i="17"/>
  <c r="V45" i="17"/>
  <c r="W43" i="17"/>
  <c r="M43" i="17"/>
  <c r="DD42" i="17"/>
  <c r="H43" i="17"/>
  <c r="R43" i="17"/>
  <c r="X45" i="17"/>
  <c r="Y45" i="17" s="1"/>
  <c r="CI45" i="17"/>
  <c r="CJ45" i="17" s="1"/>
  <c r="DE44" i="17"/>
  <c r="DB43" i="17"/>
  <c r="DX43" i="17"/>
  <c r="DF43" i="17"/>
  <c r="B42" i="6"/>
  <c r="BI41" i="6"/>
  <c r="BH41" i="6"/>
  <c r="E54" i="10"/>
  <c r="F54" i="10"/>
  <c r="G54" i="10"/>
  <c r="C55" i="10"/>
  <c r="BT44" i="17"/>
  <c r="CG45" i="17"/>
  <c r="BW45" i="17"/>
  <c r="CF45" i="17"/>
  <c r="C46" i="17"/>
  <c r="BV45" i="17"/>
  <c r="AT44" i="17"/>
  <c r="BO45" i="17"/>
  <c r="BY45" i="17"/>
  <c r="B46" i="17"/>
  <c r="CD44" i="17"/>
  <c r="J30" i="7"/>
  <c r="DY43" i="17"/>
  <c r="F19" i="6"/>
  <c r="G19" i="17"/>
  <c r="S45" i="17"/>
  <c r="T45" i="17"/>
  <c r="D46" i="17"/>
  <c r="E46" i="17"/>
  <c r="N46" i="17"/>
  <c r="O46" i="17"/>
  <c r="M44" i="17"/>
  <c r="H44" i="17"/>
  <c r="K46" i="17"/>
  <c r="U46" i="17"/>
  <c r="L46" i="17"/>
  <c r="V46" i="17"/>
  <c r="W44" i="17"/>
  <c r="I45" i="17"/>
  <c r="J45" i="17"/>
  <c r="R44" i="17"/>
  <c r="X46" i="17"/>
  <c r="Y46" i="17" s="1"/>
  <c r="CI46" i="17"/>
  <c r="CJ46" i="17" s="1"/>
  <c r="DB44" i="17"/>
  <c r="DX44" i="17"/>
  <c r="DF44" i="17"/>
  <c r="DY44" i="17"/>
  <c r="DE45" i="17"/>
  <c r="DD43" i="17"/>
  <c r="B43" i="6"/>
  <c r="BI42" i="6"/>
  <c r="BH42" i="6"/>
  <c r="E55" i="10"/>
  <c r="F55" i="10"/>
  <c r="G55" i="10"/>
  <c r="C56" i="10"/>
  <c r="B47" i="17"/>
  <c r="BY46" i="17"/>
  <c r="BO46" i="17"/>
  <c r="C47" i="17"/>
  <c r="BV46" i="17"/>
  <c r="BW46" i="17"/>
  <c r="CG46" i="17"/>
  <c r="CF46" i="17"/>
  <c r="CD45" i="17"/>
  <c r="AT45" i="17"/>
  <c r="BT45" i="17"/>
  <c r="J110" i="7"/>
  <c r="J69" i="7"/>
  <c r="Z16" i="6"/>
  <c r="J70" i="7"/>
  <c r="Z17" i="6"/>
  <c r="J71" i="7"/>
  <c r="J53" i="7"/>
  <c r="J62" i="7"/>
  <c r="N20" i="7"/>
  <c r="J29" i="7"/>
  <c r="J27" i="7"/>
  <c r="N10" i="7"/>
  <c r="J104" i="7"/>
  <c r="M125" i="7"/>
  <c r="J109" i="7"/>
  <c r="M128" i="7"/>
  <c r="J84" i="7"/>
  <c r="M104" i="7"/>
  <c r="J89" i="7"/>
  <c r="J48" i="7"/>
  <c r="Q16" i="17"/>
  <c r="J50" i="7"/>
  <c r="Q18" i="17"/>
  <c r="J90" i="7"/>
  <c r="AB25" i="6"/>
  <c r="R25" i="6"/>
  <c r="H25" i="6"/>
  <c r="A26" i="6"/>
  <c r="Z22" i="6"/>
  <c r="P22" i="6"/>
  <c r="F22" i="6"/>
  <c r="AE25" i="6"/>
  <c r="U25" i="6"/>
  <c r="AD25" i="6"/>
  <c r="T25" i="6"/>
  <c r="J25" i="6"/>
  <c r="K25" i="6"/>
  <c r="F16" i="6"/>
  <c r="G16" i="17"/>
  <c r="DD44" i="17"/>
  <c r="F18" i="6"/>
  <c r="G18" i="17"/>
  <c r="H45" i="17"/>
  <c r="S46" i="17"/>
  <c r="T46" i="17"/>
  <c r="D47" i="17"/>
  <c r="E47" i="17"/>
  <c r="N47" i="17"/>
  <c r="O47" i="17"/>
  <c r="I46" i="17"/>
  <c r="J46" i="17"/>
  <c r="M45" i="17"/>
  <c r="K47" i="17"/>
  <c r="U47" i="17"/>
  <c r="L47" i="17"/>
  <c r="V47" i="17"/>
  <c r="W45" i="17"/>
  <c r="R45" i="17"/>
  <c r="X47" i="17"/>
  <c r="CI47" i="17"/>
  <c r="CJ47" i="17" s="1"/>
  <c r="DB45" i="17"/>
  <c r="DX45" i="17"/>
  <c r="DF45" i="17"/>
  <c r="DE46" i="17"/>
  <c r="N11" i="7"/>
  <c r="L104" i="7"/>
  <c r="A27" i="6"/>
  <c r="BA27" i="6"/>
  <c r="BB27" i="6"/>
  <c r="BA26" i="6"/>
  <c r="BB26" i="6" s="1"/>
  <c r="B44" i="6"/>
  <c r="BH43" i="6"/>
  <c r="BI43" i="6"/>
  <c r="E56" i="10"/>
  <c r="F56" i="10"/>
  <c r="G56" i="10"/>
  <c r="C57" i="10"/>
  <c r="M26" i="6"/>
  <c r="N26" i="6"/>
  <c r="C26" i="6"/>
  <c r="D26" i="6"/>
  <c r="AG26" i="6"/>
  <c r="AH26" i="6" s="1"/>
  <c r="W26" i="6"/>
  <c r="X26" i="6" s="1"/>
  <c r="AQ26" i="6"/>
  <c r="AR26" i="6" s="1"/>
  <c r="AJ16" i="6"/>
  <c r="BR16" i="17"/>
  <c r="Z19" i="6"/>
  <c r="AR19" i="17"/>
  <c r="AT16" i="6"/>
  <c r="CB16" i="17"/>
  <c r="AR17" i="17"/>
  <c r="P16" i="6"/>
  <c r="AR16" i="17"/>
  <c r="P18" i="6"/>
  <c r="AT17" i="6"/>
  <c r="CB17" i="17"/>
  <c r="BZ46" i="17"/>
  <c r="CE46" i="17"/>
  <c r="AJ17" i="6"/>
  <c r="BR17" i="17"/>
  <c r="BP46" i="17"/>
  <c r="BU46" i="17"/>
  <c r="CF47" i="17"/>
  <c r="BV47" i="17"/>
  <c r="C48" i="17"/>
  <c r="CG47" i="17"/>
  <c r="BW47" i="17"/>
  <c r="AT46" i="17"/>
  <c r="BT46" i="17"/>
  <c r="CD46" i="17"/>
  <c r="B48" i="17"/>
  <c r="BY47" i="17"/>
  <c r="BO47" i="17"/>
  <c r="AY26" i="6"/>
  <c r="AO26" i="6"/>
  <c r="AE26" i="6"/>
  <c r="K26" i="6"/>
  <c r="U26" i="6"/>
  <c r="AA25" i="6"/>
  <c r="Y47" i="17"/>
  <c r="AQ47" i="17"/>
  <c r="Y37" i="17"/>
  <c r="BF27" i="6"/>
  <c r="DY45" i="17"/>
  <c r="H46" i="17"/>
  <c r="AV26" i="6"/>
  <c r="AW26" i="6"/>
  <c r="K48" i="17"/>
  <c r="U48" i="17"/>
  <c r="L48" i="17"/>
  <c r="V48" i="17"/>
  <c r="I47" i="17"/>
  <c r="J47" i="17"/>
  <c r="W46" i="17"/>
  <c r="R46" i="17"/>
  <c r="D48" i="17"/>
  <c r="E48" i="17"/>
  <c r="N48" i="17"/>
  <c r="O48" i="17"/>
  <c r="S47" i="17"/>
  <c r="T47" i="17"/>
  <c r="M46" i="17"/>
  <c r="DB46" i="17"/>
  <c r="DX46" i="17"/>
  <c r="DF46" i="17"/>
  <c r="X48" i="17"/>
  <c r="Y48" i="17" s="1"/>
  <c r="CI48" i="17"/>
  <c r="CJ48" i="17" s="1"/>
  <c r="DE47" i="17"/>
  <c r="DD45" i="17"/>
  <c r="AL26" i="6"/>
  <c r="AM26" i="6"/>
  <c r="AQ43" i="17"/>
  <c r="AQ35" i="17"/>
  <c r="AQ34" i="17"/>
  <c r="AQ41" i="17"/>
  <c r="AQ33" i="17"/>
  <c r="AQ40" i="17"/>
  <c r="AQ39" i="17"/>
  <c r="AQ31" i="17"/>
  <c r="AQ46" i="17"/>
  <c r="BM46" i="17"/>
  <c r="AQ38" i="17"/>
  <c r="AQ30" i="17"/>
  <c r="AQ45" i="17"/>
  <c r="AQ29" i="17"/>
  <c r="AQ44" i="17"/>
  <c r="AQ36" i="17"/>
  <c r="AQ37" i="17"/>
  <c r="BM37" i="17"/>
  <c r="B45" i="6"/>
  <c r="BI44" i="6"/>
  <c r="BH44" i="6"/>
  <c r="BF26" i="6"/>
  <c r="A28" i="6"/>
  <c r="AB26" i="6"/>
  <c r="R26" i="6"/>
  <c r="BZ34" i="17"/>
  <c r="BZ35" i="17"/>
  <c r="BZ30" i="17"/>
  <c r="BZ29" i="17"/>
  <c r="BZ31" i="17"/>
  <c r="BZ28" i="17"/>
  <c r="BZ36" i="17"/>
  <c r="BZ33" i="17"/>
  <c r="BZ38" i="17"/>
  <c r="BZ39" i="17"/>
  <c r="BZ40" i="17"/>
  <c r="BZ41" i="17"/>
  <c r="BZ43" i="17"/>
  <c r="BZ44" i="17"/>
  <c r="BZ45" i="17"/>
  <c r="BP28" i="17"/>
  <c r="BP33" i="17"/>
  <c r="BP36" i="17"/>
  <c r="BP29" i="17"/>
  <c r="BP32" i="17"/>
  <c r="BP34" i="17"/>
  <c r="BP30" i="17"/>
  <c r="BP38" i="17"/>
  <c r="BP40" i="17"/>
  <c r="BP41" i="17"/>
  <c r="BP42" i="17"/>
  <c r="BP44" i="17"/>
  <c r="BP45" i="17"/>
  <c r="BP37" i="17"/>
  <c r="BU37" i="17"/>
  <c r="BX37" i="17"/>
  <c r="H26" i="6"/>
  <c r="BZ37" i="17"/>
  <c r="CC37" i="17"/>
  <c r="E57" i="10"/>
  <c r="F57" i="10"/>
  <c r="G57" i="10"/>
  <c r="C58" i="10"/>
  <c r="BP31" i="17"/>
  <c r="BP35" i="17"/>
  <c r="BP39" i="17"/>
  <c r="BP43" i="17"/>
  <c r="BZ32" i="17"/>
  <c r="BZ42" i="17"/>
  <c r="CH46" i="17"/>
  <c r="BS46" i="17"/>
  <c r="CC46" i="17"/>
  <c r="CD47" i="17"/>
  <c r="BZ47" i="17"/>
  <c r="CE47" i="17"/>
  <c r="AT47" i="17"/>
  <c r="BP47" i="17"/>
  <c r="BU47" i="17"/>
  <c r="BT47" i="17"/>
  <c r="CG48" i="17"/>
  <c r="BW48" i="17"/>
  <c r="CF48" i="17"/>
  <c r="BV48" i="17"/>
  <c r="C49" i="17"/>
  <c r="B49" i="17"/>
  <c r="BY48" i="17"/>
  <c r="BO48" i="17"/>
  <c r="BX46" i="17"/>
  <c r="AN27" i="6"/>
  <c r="AY27" i="6"/>
  <c r="AX27" i="6"/>
  <c r="AO27" i="6"/>
  <c r="J27" i="6"/>
  <c r="AD27" i="6"/>
  <c r="T27" i="6"/>
  <c r="AE27" i="6"/>
  <c r="K27" i="6"/>
  <c r="U27" i="6"/>
  <c r="AC25" i="6"/>
  <c r="G25" i="6"/>
  <c r="L25" i="6"/>
  <c r="AC26" i="6"/>
  <c r="I26" i="6"/>
  <c r="S26" i="6"/>
  <c r="DY46" i="17"/>
  <c r="M47" i="17"/>
  <c r="W47" i="17"/>
  <c r="H47" i="17"/>
  <c r="R47" i="17"/>
  <c r="S48" i="17"/>
  <c r="T48" i="17"/>
  <c r="I48" i="17"/>
  <c r="J48" i="17"/>
  <c r="D49" i="17"/>
  <c r="E49" i="17"/>
  <c r="N49" i="17"/>
  <c r="O49" i="17"/>
  <c r="K49" i="17"/>
  <c r="U49" i="17"/>
  <c r="L49" i="17"/>
  <c r="V49" i="17"/>
  <c r="DE48" i="17"/>
  <c r="X49" i="17"/>
  <c r="Y49" i="17" s="1"/>
  <c r="CI49" i="17"/>
  <c r="CJ49" i="17" s="1"/>
  <c r="DB47" i="17"/>
  <c r="DF47" i="17"/>
  <c r="DD46" i="17"/>
  <c r="BG26" i="6"/>
  <c r="A29" i="6"/>
  <c r="BA28" i="6"/>
  <c r="BB28" i="6" s="1"/>
  <c r="W28" i="6"/>
  <c r="X28" i="6" s="1"/>
  <c r="M28" i="6"/>
  <c r="N28" i="6"/>
  <c r="C28" i="6"/>
  <c r="D28" i="6"/>
  <c r="AQ28" i="6"/>
  <c r="AR28" i="6" s="1"/>
  <c r="AG28" i="6"/>
  <c r="AH28" i="6" s="1"/>
  <c r="B46" i="6"/>
  <c r="BI45" i="6"/>
  <c r="BH45" i="6"/>
  <c r="AU46" i="17"/>
  <c r="BN46" i="17"/>
  <c r="AQ28" i="17"/>
  <c r="BM28" i="17"/>
  <c r="AU37" i="17"/>
  <c r="BN37" i="17"/>
  <c r="BM35" i="17"/>
  <c r="AU35" i="17"/>
  <c r="AS35" i="17"/>
  <c r="AU34" i="17"/>
  <c r="BM34" i="17"/>
  <c r="AS34" i="17"/>
  <c r="BM31" i="17"/>
  <c r="AU31" i="17"/>
  <c r="AS31" i="17"/>
  <c r="BM44" i="17"/>
  <c r="AU44" i="17"/>
  <c r="AS44" i="17"/>
  <c r="AU29" i="17"/>
  <c r="BM29" i="17"/>
  <c r="BM43" i="17"/>
  <c r="AU43" i="17"/>
  <c r="AS43" i="17"/>
  <c r="AU41" i="17"/>
  <c r="BM41" i="17"/>
  <c r="AS41" i="17"/>
  <c r="AU28" i="17"/>
  <c r="AU40" i="17"/>
  <c r="BM40" i="17"/>
  <c r="AS40" i="17"/>
  <c r="BM38" i="17"/>
  <c r="AU38" i="17"/>
  <c r="AS38" i="17"/>
  <c r="BS37" i="17"/>
  <c r="CE30" i="17"/>
  <c r="CH30" i="17"/>
  <c r="CC30" i="17"/>
  <c r="CE45" i="17"/>
  <c r="CH45" i="17"/>
  <c r="CC45" i="17"/>
  <c r="CE44" i="17"/>
  <c r="CH44" i="17"/>
  <c r="CC44" i="17"/>
  <c r="CC28" i="17"/>
  <c r="CE28" i="17"/>
  <c r="CH28" i="17"/>
  <c r="CE43" i="17"/>
  <c r="CH43" i="17"/>
  <c r="CC43" i="17"/>
  <c r="CC31" i="17"/>
  <c r="CE31" i="17"/>
  <c r="CH31" i="17"/>
  <c r="CE39" i="17"/>
  <c r="CH39" i="17"/>
  <c r="CC39" i="17"/>
  <c r="CE33" i="17"/>
  <c r="CH33" i="17"/>
  <c r="CC33" i="17"/>
  <c r="CE36" i="17"/>
  <c r="CH36" i="17"/>
  <c r="CC36" i="17"/>
  <c r="CE41" i="17"/>
  <c r="CH41" i="17"/>
  <c r="CC41" i="17"/>
  <c r="CC29" i="17"/>
  <c r="CE29" i="17"/>
  <c r="CH29" i="17"/>
  <c r="CC35" i="17"/>
  <c r="CE35" i="17"/>
  <c r="CH35" i="17"/>
  <c r="CE40" i="17"/>
  <c r="CH40" i="17"/>
  <c r="CC40" i="17"/>
  <c r="CE38" i="17"/>
  <c r="CH38" i="17"/>
  <c r="CC38" i="17"/>
  <c r="CE34" i="17"/>
  <c r="CH34" i="17"/>
  <c r="CC34" i="17"/>
  <c r="CE37" i="17"/>
  <c r="CH37" i="17"/>
  <c r="BU34" i="17"/>
  <c r="BX34" i="17"/>
  <c r="BS34" i="17"/>
  <c r="BU45" i="17"/>
  <c r="BX45" i="17"/>
  <c r="BS45" i="17"/>
  <c r="BU32" i="17"/>
  <c r="BX32" i="17"/>
  <c r="BS32" i="17"/>
  <c r="BS30" i="17"/>
  <c r="BU30" i="17"/>
  <c r="BX30" i="17"/>
  <c r="BU44" i="17"/>
  <c r="BX44" i="17"/>
  <c r="BS44" i="17"/>
  <c r="BU42" i="17"/>
  <c r="BX42" i="17"/>
  <c r="BS42" i="17"/>
  <c r="BU36" i="17"/>
  <c r="BX36" i="17"/>
  <c r="BS36" i="17"/>
  <c r="BU29" i="17"/>
  <c r="BX29" i="17"/>
  <c r="BS29" i="17"/>
  <c r="BU41" i="17"/>
  <c r="BX41" i="17"/>
  <c r="BS41" i="17"/>
  <c r="BU33" i="17"/>
  <c r="BX33" i="17"/>
  <c r="BS33" i="17"/>
  <c r="BU38" i="17"/>
  <c r="BX38" i="17"/>
  <c r="BS38" i="17"/>
  <c r="BU40" i="17"/>
  <c r="BX40" i="17"/>
  <c r="BS40" i="17"/>
  <c r="BU28" i="17"/>
  <c r="BX28" i="17"/>
  <c r="BS28" i="17"/>
  <c r="E58" i="10"/>
  <c r="F58" i="10"/>
  <c r="G58" i="10"/>
  <c r="C59" i="10"/>
  <c r="CE32" i="17"/>
  <c r="CH32" i="17"/>
  <c r="CC32" i="17"/>
  <c r="BU31" i="17"/>
  <c r="BX31" i="17"/>
  <c r="BS31" i="17"/>
  <c r="BM33" i="17"/>
  <c r="AU33" i="17"/>
  <c r="AU30" i="17"/>
  <c r="BM30" i="17"/>
  <c r="AU36" i="17"/>
  <c r="BM36" i="17"/>
  <c r="AS37" i="17"/>
  <c r="AU45" i="17"/>
  <c r="BM45" i="17"/>
  <c r="BU43" i="17"/>
  <c r="BX43" i="17"/>
  <c r="BS43" i="17"/>
  <c r="CE42" i="17"/>
  <c r="CH42" i="17"/>
  <c r="CC42" i="17"/>
  <c r="BU39" i="17"/>
  <c r="BX39" i="17"/>
  <c r="BS39" i="17"/>
  <c r="AU39" i="17"/>
  <c r="BM39" i="17"/>
  <c r="BU35" i="17"/>
  <c r="BX35" i="17"/>
  <c r="BS35" i="17"/>
  <c r="AS46" i="17"/>
  <c r="AU47" i="17"/>
  <c r="BM47" i="17"/>
  <c r="BX47" i="17"/>
  <c r="CH47" i="17"/>
  <c r="CC47" i="17"/>
  <c r="BZ48" i="17"/>
  <c r="CE48" i="17"/>
  <c r="CD48" i="17"/>
  <c r="BY49" i="17"/>
  <c r="B50" i="17"/>
  <c r="BO49" i="17"/>
  <c r="CG49" i="17"/>
  <c r="BW49" i="17"/>
  <c r="C50" i="17"/>
  <c r="BV49" i="17"/>
  <c r="CF49" i="17"/>
  <c r="AT48" i="17"/>
  <c r="AQ48" i="17"/>
  <c r="BP48" i="17"/>
  <c r="BU48" i="17"/>
  <c r="BT48" i="17"/>
  <c r="BS47" i="17"/>
  <c r="AX28" i="6"/>
  <c r="AY28" i="6"/>
  <c r="AO28" i="6"/>
  <c r="AN28" i="6"/>
  <c r="U28" i="6"/>
  <c r="J28" i="6"/>
  <c r="AE28" i="6"/>
  <c r="AD28" i="6"/>
  <c r="T28" i="6"/>
  <c r="K28" i="6"/>
  <c r="AF25" i="6"/>
  <c r="W48" i="17"/>
  <c r="AW28" i="6"/>
  <c r="R48" i="17"/>
  <c r="K50" i="17"/>
  <c r="U50" i="17"/>
  <c r="L50" i="17"/>
  <c r="V50" i="17"/>
  <c r="S49" i="17"/>
  <c r="T49" i="17"/>
  <c r="I49" i="17"/>
  <c r="J49" i="17"/>
  <c r="M48" i="17"/>
  <c r="D50" i="17"/>
  <c r="E50" i="17"/>
  <c r="N50" i="17"/>
  <c r="O50" i="17"/>
  <c r="H48" i="17"/>
  <c r="DX47" i="17"/>
  <c r="DY47" i="17"/>
  <c r="DD47" i="17"/>
  <c r="DE49" i="17"/>
  <c r="DB48" i="17"/>
  <c r="DX48" i="17"/>
  <c r="DF48" i="17"/>
  <c r="X50" i="17"/>
  <c r="Y50" i="17" s="1"/>
  <c r="CI50" i="17"/>
  <c r="CJ50" i="17" s="1"/>
  <c r="AK28" i="6"/>
  <c r="AC28" i="6"/>
  <c r="Q28" i="6"/>
  <c r="G28" i="6"/>
  <c r="BG28" i="6"/>
  <c r="AV28" i="6"/>
  <c r="AB28" i="6"/>
  <c r="H28" i="6"/>
  <c r="R28" i="6"/>
  <c r="B47" i="6"/>
  <c r="BI46" i="6"/>
  <c r="BH46" i="6"/>
  <c r="BA29" i="6"/>
  <c r="BB29" i="6" s="1"/>
  <c r="AQ29" i="6"/>
  <c r="AR29" i="6" s="1"/>
  <c r="W29" i="6"/>
  <c r="X29" i="6" s="1"/>
  <c r="A30" i="6"/>
  <c r="C29" i="6"/>
  <c r="D29" i="6"/>
  <c r="M29" i="6"/>
  <c r="AG29" i="6"/>
  <c r="AH29" i="6" s="1"/>
  <c r="AL28" i="6"/>
  <c r="BF28" i="6"/>
  <c r="AS28" i="17"/>
  <c r="BN43" i="17"/>
  <c r="BN31" i="17"/>
  <c r="BN35" i="17"/>
  <c r="BN44" i="17"/>
  <c r="BN41" i="17"/>
  <c r="BN38" i="17"/>
  <c r="BN29" i="17"/>
  <c r="BN40" i="17"/>
  <c r="BN34" i="17"/>
  <c r="BN28" i="17"/>
  <c r="AS29" i="17"/>
  <c r="AS30" i="17"/>
  <c r="BN45" i="17"/>
  <c r="AS33" i="17"/>
  <c r="E59" i="10"/>
  <c r="F59" i="10"/>
  <c r="G59" i="10"/>
  <c r="C60" i="10"/>
  <c r="AS39" i="17"/>
  <c r="AS45" i="17"/>
  <c r="BN33" i="17"/>
  <c r="AS36" i="17"/>
  <c r="BN30" i="17"/>
  <c r="BN39" i="17"/>
  <c r="BN36" i="17"/>
  <c r="AS47" i="17"/>
  <c r="BN47" i="17"/>
  <c r="AU48" i="17"/>
  <c r="BM48" i="17"/>
  <c r="CH48" i="17"/>
  <c r="BX48" i="17"/>
  <c r="C51" i="17"/>
  <c r="CG50" i="17"/>
  <c r="BW50" i="17"/>
  <c r="BV50" i="17"/>
  <c r="CF50" i="17"/>
  <c r="CD49" i="17"/>
  <c r="BZ49" i="17"/>
  <c r="CE49" i="17"/>
  <c r="BO50" i="17"/>
  <c r="B51" i="17"/>
  <c r="BY50" i="17"/>
  <c r="BT49" i="17"/>
  <c r="BP49" i="17"/>
  <c r="BU49" i="17"/>
  <c r="AT49" i="17"/>
  <c r="AQ49" i="17"/>
  <c r="BS48" i="17"/>
  <c r="CC48" i="17"/>
  <c r="AY29" i="6"/>
  <c r="AX29" i="6"/>
  <c r="AO29" i="6"/>
  <c r="AN29" i="6"/>
  <c r="AE29" i="6"/>
  <c r="T29" i="6"/>
  <c r="K29" i="6"/>
  <c r="U29" i="6"/>
  <c r="J29" i="6"/>
  <c r="AD29" i="6"/>
  <c r="R29" i="6"/>
  <c r="N29" i="6"/>
  <c r="S29" i="6"/>
  <c r="V29" i="6"/>
  <c r="DY48" i="17"/>
  <c r="AW29" i="6"/>
  <c r="AU28" i="6"/>
  <c r="S50" i="17"/>
  <c r="T50" i="17"/>
  <c r="W49" i="17"/>
  <c r="R49" i="17"/>
  <c r="I50" i="17"/>
  <c r="J50" i="17"/>
  <c r="M49" i="17"/>
  <c r="D51" i="17"/>
  <c r="E51" i="17"/>
  <c r="N51" i="17"/>
  <c r="O51" i="17"/>
  <c r="K51" i="17"/>
  <c r="U51" i="17"/>
  <c r="L51" i="17"/>
  <c r="V51" i="17"/>
  <c r="H49" i="17"/>
  <c r="X51" i="17"/>
  <c r="Y51" i="17" s="1"/>
  <c r="CI51" i="17"/>
  <c r="CJ51" i="17" s="1"/>
  <c r="DB49" i="17"/>
  <c r="DX49" i="17"/>
  <c r="DF49" i="17"/>
  <c r="DE50" i="17"/>
  <c r="DD48" i="17"/>
  <c r="AK29" i="6"/>
  <c r="AM28" i="6"/>
  <c r="AP28" i="6"/>
  <c r="AL29" i="6"/>
  <c r="AV29" i="6"/>
  <c r="AA28" i="6"/>
  <c r="AF28" i="6"/>
  <c r="AA29" i="6"/>
  <c r="S28" i="6"/>
  <c r="V28" i="6"/>
  <c r="I28" i="6"/>
  <c r="L28" i="6"/>
  <c r="H29" i="6"/>
  <c r="I29" i="6"/>
  <c r="AB29" i="6"/>
  <c r="AZ28" i="6"/>
  <c r="BE28" i="6"/>
  <c r="BJ28" i="6"/>
  <c r="BF29" i="6"/>
  <c r="BG29" i="6"/>
  <c r="B48" i="6"/>
  <c r="BI47" i="6"/>
  <c r="BH47" i="6"/>
  <c r="BA30" i="6"/>
  <c r="BB30" i="6" s="1"/>
  <c r="C30" i="6"/>
  <c r="D30" i="6"/>
  <c r="AG30" i="6"/>
  <c r="AH30" i="6" s="1"/>
  <c r="W30" i="6"/>
  <c r="X30" i="6" s="1"/>
  <c r="AQ30" i="6"/>
  <c r="AR30" i="6" s="1"/>
  <c r="A31" i="6"/>
  <c r="M30" i="6"/>
  <c r="N30" i="6"/>
  <c r="E60" i="10"/>
  <c r="F60" i="10"/>
  <c r="G60" i="10"/>
  <c r="C61" i="10"/>
  <c r="BN48" i="17"/>
  <c r="AS48" i="17"/>
  <c r="AU49" i="17"/>
  <c r="CH49" i="17"/>
  <c r="B52" i="17"/>
  <c r="BY51" i="17"/>
  <c r="BO51" i="17"/>
  <c r="AQ50" i="17"/>
  <c r="AT50" i="17"/>
  <c r="CC49" i="17"/>
  <c r="BS49" i="17"/>
  <c r="BZ50" i="17"/>
  <c r="CE50" i="17"/>
  <c r="CD50" i="17"/>
  <c r="BP50" i="17"/>
  <c r="BU50" i="17"/>
  <c r="BT50" i="17"/>
  <c r="BX49" i="17"/>
  <c r="C52" i="17"/>
  <c r="CG51" i="17"/>
  <c r="CF51" i="17"/>
  <c r="BW51" i="17"/>
  <c r="BV51" i="17"/>
  <c r="AY30" i="6"/>
  <c r="AO30" i="6"/>
  <c r="AN30" i="6"/>
  <c r="AX30" i="6"/>
  <c r="J30" i="6"/>
  <c r="AD30" i="6"/>
  <c r="AE30" i="6"/>
  <c r="K30" i="6"/>
  <c r="U30" i="6"/>
  <c r="T30" i="6"/>
  <c r="AU29" i="6"/>
  <c r="AV30" i="6"/>
  <c r="DY49" i="17"/>
  <c r="AZ29" i="6"/>
  <c r="H50" i="17"/>
  <c r="D52" i="17"/>
  <c r="E52" i="17"/>
  <c r="N52" i="17"/>
  <c r="O52" i="17"/>
  <c r="S51" i="17"/>
  <c r="T51" i="17"/>
  <c r="K52" i="17"/>
  <c r="U52" i="17"/>
  <c r="L52" i="17"/>
  <c r="V52" i="17"/>
  <c r="W50" i="17"/>
  <c r="M50" i="17"/>
  <c r="I51" i="17"/>
  <c r="J51" i="17"/>
  <c r="R50" i="17"/>
  <c r="DB50" i="17"/>
  <c r="DX50" i="17"/>
  <c r="DF50" i="17"/>
  <c r="X52" i="17"/>
  <c r="Y52" i="17" s="1"/>
  <c r="CI52" i="17"/>
  <c r="CJ52" i="17" s="1"/>
  <c r="DE51" i="17"/>
  <c r="DD49" i="17"/>
  <c r="AM29" i="6"/>
  <c r="AP29" i="6"/>
  <c r="AC29" i="6"/>
  <c r="AF29" i="6"/>
  <c r="L29" i="6"/>
  <c r="AA30" i="6"/>
  <c r="I30" i="6"/>
  <c r="Q29" i="6"/>
  <c r="R30" i="6"/>
  <c r="S30" i="6"/>
  <c r="AB30" i="6"/>
  <c r="G29" i="6"/>
  <c r="AM30" i="6"/>
  <c r="BF30" i="6"/>
  <c r="BG30" i="6"/>
  <c r="B49" i="6"/>
  <c r="BI48" i="6"/>
  <c r="BH48" i="6"/>
  <c r="AL30" i="6"/>
  <c r="BE29" i="6"/>
  <c r="BA31" i="6"/>
  <c r="BB31" i="6" s="1"/>
  <c r="AQ31" i="6"/>
  <c r="AR31" i="6" s="1"/>
  <c r="W31" i="6"/>
  <c r="X31" i="6" s="1"/>
  <c r="AG31" i="6"/>
  <c r="AH31" i="6" s="1"/>
  <c r="C31" i="6"/>
  <c r="D31" i="6"/>
  <c r="A32" i="6"/>
  <c r="M31" i="6"/>
  <c r="N31" i="6"/>
  <c r="BJ29" i="6"/>
  <c r="H30" i="6"/>
  <c r="AW30" i="6"/>
  <c r="E61" i="10"/>
  <c r="F61" i="10"/>
  <c r="G61" i="10"/>
  <c r="C62" i="10"/>
  <c r="AS49" i="17"/>
  <c r="BM49" i="17"/>
  <c r="BN49" i="17"/>
  <c r="AU50" i="17"/>
  <c r="CH50" i="17"/>
  <c r="CC50" i="17"/>
  <c r="CG52" i="17"/>
  <c r="BW52" i="17"/>
  <c r="CF52" i="17"/>
  <c r="BV52" i="17"/>
  <c r="C53" i="17"/>
  <c r="CD51" i="17"/>
  <c r="BZ51" i="17"/>
  <c r="CE51" i="17"/>
  <c r="BS50" i="17"/>
  <c r="AT51" i="17"/>
  <c r="AQ51" i="17"/>
  <c r="BT51" i="17"/>
  <c r="BP51" i="17"/>
  <c r="BU51" i="17"/>
  <c r="BX50" i="17"/>
  <c r="B53" i="17"/>
  <c r="BY52" i="17"/>
  <c r="BO52" i="17"/>
  <c r="AY31" i="6"/>
  <c r="AX31" i="6"/>
  <c r="AN31" i="6"/>
  <c r="AO31" i="6"/>
  <c r="U31" i="6"/>
  <c r="T31" i="6"/>
  <c r="J31" i="6"/>
  <c r="K31" i="6"/>
  <c r="AE31" i="6"/>
  <c r="AD31" i="6"/>
  <c r="AZ30" i="6"/>
  <c r="DD50" i="17"/>
  <c r="DY50" i="17"/>
  <c r="AW31" i="6"/>
  <c r="R51" i="17"/>
  <c r="M51" i="17"/>
  <c r="W51" i="17"/>
  <c r="S52" i="17"/>
  <c r="T52" i="17"/>
  <c r="I52" i="17"/>
  <c r="J52" i="17"/>
  <c r="H51" i="17"/>
  <c r="D53" i="17"/>
  <c r="E53" i="17"/>
  <c r="N53" i="17"/>
  <c r="O53" i="17"/>
  <c r="K53" i="17"/>
  <c r="U53" i="17"/>
  <c r="L53" i="17"/>
  <c r="V53" i="17"/>
  <c r="DB51" i="17"/>
  <c r="DX51" i="17"/>
  <c r="DF51" i="17"/>
  <c r="DE52" i="17"/>
  <c r="X53" i="17"/>
  <c r="Y53" i="17" s="1"/>
  <c r="CI53" i="17"/>
  <c r="CJ53" i="17" s="1"/>
  <c r="AK31" i="6"/>
  <c r="V30" i="6"/>
  <c r="AA31" i="6"/>
  <c r="S31" i="6"/>
  <c r="AC30" i="6"/>
  <c r="AF30" i="6"/>
  <c r="G30" i="6"/>
  <c r="I31" i="6"/>
  <c r="L30" i="6"/>
  <c r="AP30" i="6"/>
  <c r="AL31" i="6"/>
  <c r="AB31" i="6"/>
  <c r="H31" i="6"/>
  <c r="AV31" i="6"/>
  <c r="R31" i="6"/>
  <c r="AU30" i="6"/>
  <c r="Q30" i="6"/>
  <c r="B50" i="6"/>
  <c r="BH49" i="6"/>
  <c r="BI49" i="6"/>
  <c r="BF31" i="6"/>
  <c r="BG31" i="6"/>
  <c r="BE30" i="6"/>
  <c r="BJ30" i="6"/>
  <c r="BA32" i="6"/>
  <c r="BB32" i="6" s="1"/>
  <c r="AQ32" i="6"/>
  <c r="AR32" i="6" s="1"/>
  <c r="W32" i="6"/>
  <c r="X32" i="6" s="1"/>
  <c r="AB32" i="6"/>
  <c r="AG32" i="6"/>
  <c r="AH32" i="6" s="1"/>
  <c r="A33" i="6"/>
  <c r="M32" i="6"/>
  <c r="C32" i="6"/>
  <c r="D32" i="6"/>
  <c r="AK30" i="6"/>
  <c r="E62" i="10"/>
  <c r="F62" i="10"/>
  <c r="G62" i="10"/>
  <c r="C63" i="10"/>
  <c r="AS50" i="17"/>
  <c r="BM50" i="17"/>
  <c r="BN50" i="17"/>
  <c r="AU51" i="17"/>
  <c r="BM51" i="17"/>
  <c r="BP52" i="17"/>
  <c r="BU52" i="17"/>
  <c r="BT52" i="17"/>
  <c r="BZ52" i="17"/>
  <c r="CE52" i="17"/>
  <c r="CD52" i="17"/>
  <c r="B54" i="17"/>
  <c r="BY53" i="17"/>
  <c r="BO53" i="17"/>
  <c r="AT52" i="17"/>
  <c r="AQ52" i="17"/>
  <c r="CH51" i="17"/>
  <c r="CG53" i="17"/>
  <c r="BW53" i="17"/>
  <c r="C54" i="17"/>
  <c r="BV53" i="17"/>
  <c r="CF53" i="17"/>
  <c r="BX51" i="17"/>
  <c r="CC51" i="17"/>
  <c r="BS51" i="17"/>
  <c r="AY32" i="6"/>
  <c r="AX32" i="6"/>
  <c r="AO32" i="6"/>
  <c r="AN32" i="6"/>
  <c r="U32" i="6"/>
  <c r="AD32" i="6"/>
  <c r="K32" i="6"/>
  <c r="T32" i="6"/>
  <c r="J32" i="6"/>
  <c r="AE32" i="6"/>
  <c r="R32" i="6"/>
  <c r="N32" i="6"/>
  <c r="S32" i="6"/>
  <c r="V32" i="6"/>
  <c r="DD51" i="17"/>
  <c r="AU31" i="6"/>
  <c r="DY51" i="17"/>
  <c r="H52" i="17"/>
  <c r="AU32" i="6"/>
  <c r="S53" i="17"/>
  <c r="T53" i="17"/>
  <c r="R52" i="17"/>
  <c r="W52" i="17"/>
  <c r="I53" i="17"/>
  <c r="J53" i="17"/>
  <c r="K54" i="17"/>
  <c r="U54" i="17"/>
  <c r="L54" i="17"/>
  <c r="V54" i="17"/>
  <c r="D54" i="17"/>
  <c r="E54" i="17"/>
  <c r="N54" i="17"/>
  <c r="O54" i="17"/>
  <c r="M52" i="17"/>
  <c r="DB52" i="17"/>
  <c r="DX52" i="17"/>
  <c r="DF52" i="17"/>
  <c r="X54" i="17"/>
  <c r="Y54" i="17" s="1"/>
  <c r="CI54" i="17"/>
  <c r="CJ54" i="17" s="1"/>
  <c r="DE53" i="17"/>
  <c r="AK32" i="6"/>
  <c r="AM31" i="6"/>
  <c r="AP31" i="6"/>
  <c r="L31" i="6"/>
  <c r="V31" i="6"/>
  <c r="G31" i="6"/>
  <c r="I32" i="6"/>
  <c r="Q31" i="6"/>
  <c r="AC32" i="6"/>
  <c r="AF32" i="6"/>
  <c r="AC31" i="6"/>
  <c r="AF31" i="6"/>
  <c r="AZ31" i="6"/>
  <c r="AV32" i="6"/>
  <c r="AL32" i="6"/>
  <c r="H32" i="6"/>
  <c r="BA33" i="6"/>
  <c r="BB33" i="6" s="1"/>
  <c r="M33" i="6"/>
  <c r="N33" i="6"/>
  <c r="C33" i="6"/>
  <c r="D33" i="6"/>
  <c r="AG33" i="6"/>
  <c r="AH33" i="6" s="1"/>
  <c r="AQ33" i="6"/>
  <c r="AR33" i="6" s="1"/>
  <c r="W33" i="6"/>
  <c r="X33" i="6" s="1"/>
  <c r="A34" i="6"/>
  <c r="BE31" i="6"/>
  <c r="BJ31" i="6"/>
  <c r="BF32" i="6"/>
  <c r="BG32" i="6"/>
  <c r="B51" i="6"/>
  <c r="BI50" i="6"/>
  <c r="BH50" i="6"/>
  <c r="E63" i="10"/>
  <c r="F63" i="10"/>
  <c r="G63" i="10"/>
  <c r="C64" i="10"/>
  <c r="AS51" i="17"/>
  <c r="BN51" i="17"/>
  <c r="AU52" i="17"/>
  <c r="BM52" i="17"/>
  <c r="BS52" i="17"/>
  <c r="BX52" i="17"/>
  <c r="CC52" i="17"/>
  <c r="BT53" i="17"/>
  <c r="BP53" i="17"/>
  <c r="BU53" i="17"/>
  <c r="CH52" i="17"/>
  <c r="CD53" i="17"/>
  <c r="BZ53" i="17"/>
  <c r="CE53" i="17"/>
  <c r="BO54" i="17"/>
  <c r="B55" i="17"/>
  <c r="BY54" i="17"/>
  <c r="C55" i="17"/>
  <c r="CG54" i="17"/>
  <c r="CF54" i="17"/>
  <c r="BW54" i="17"/>
  <c r="BV54" i="17"/>
  <c r="AS52" i="17"/>
  <c r="AT53" i="17"/>
  <c r="AQ53" i="17"/>
  <c r="AY33" i="6"/>
  <c r="AN33" i="6"/>
  <c r="AX33" i="6"/>
  <c r="AO33" i="6"/>
  <c r="T33" i="6"/>
  <c r="AD33" i="6"/>
  <c r="K33" i="6"/>
  <c r="AE33" i="6"/>
  <c r="J33" i="6"/>
  <c r="U33" i="6"/>
  <c r="AW32" i="6"/>
  <c r="DY52" i="17"/>
  <c r="DD52" i="17"/>
  <c r="M53" i="17"/>
  <c r="H53" i="17"/>
  <c r="AU33" i="6"/>
  <c r="I54" i="17"/>
  <c r="J54" i="17"/>
  <c r="S54" i="17"/>
  <c r="T54" i="17"/>
  <c r="K55" i="17"/>
  <c r="U55" i="17"/>
  <c r="L55" i="17"/>
  <c r="V55" i="17"/>
  <c r="D55" i="17"/>
  <c r="E55" i="17"/>
  <c r="N55" i="17"/>
  <c r="O55" i="17"/>
  <c r="W53" i="17"/>
  <c r="R53" i="17"/>
  <c r="X55" i="17"/>
  <c r="Y55" i="17" s="1"/>
  <c r="CI55" i="17"/>
  <c r="CJ55" i="17" s="1"/>
  <c r="DE54" i="17"/>
  <c r="DB53" i="17"/>
  <c r="DX53" i="17"/>
  <c r="DF53" i="17"/>
  <c r="AM32" i="6"/>
  <c r="AP32" i="6"/>
  <c r="AM33" i="6"/>
  <c r="AA32" i="6"/>
  <c r="AC33" i="6"/>
  <c r="G33" i="6"/>
  <c r="S33" i="6"/>
  <c r="Q32" i="6"/>
  <c r="G32" i="6"/>
  <c r="AZ32" i="6"/>
  <c r="L32" i="6"/>
  <c r="H33" i="6"/>
  <c r="AL33" i="6"/>
  <c r="R33" i="6"/>
  <c r="AV33" i="6"/>
  <c r="B52" i="6"/>
  <c r="BI51" i="6"/>
  <c r="BH51" i="6"/>
  <c r="BE32" i="6"/>
  <c r="BA34" i="6"/>
  <c r="BB34" i="6" s="1"/>
  <c r="W34" i="6"/>
  <c r="X34" i="6" s="1"/>
  <c r="A35" i="6"/>
  <c r="M34" i="6"/>
  <c r="N34" i="6"/>
  <c r="C34" i="6"/>
  <c r="D34" i="6"/>
  <c r="AG34" i="6"/>
  <c r="AH34" i="6" s="1"/>
  <c r="AQ34" i="6"/>
  <c r="AR34" i="6" s="1"/>
  <c r="AB33" i="6"/>
  <c r="BJ32" i="6"/>
  <c r="BF33" i="6"/>
  <c r="BG33" i="6"/>
  <c r="E64" i="10"/>
  <c r="F64" i="10"/>
  <c r="G64" i="10"/>
  <c r="C65" i="10"/>
  <c r="BN52" i="17"/>
  <c r="AU53" i="17"/>
  <c r="BM53" i="17"/>
  <c r="CC53" i="17"/>
  <c r="BP54" i="17"/>
  <c r="BU54" i="17"/>
  <c r="BT54" i="17"/>
  <c r="CG55" i="17"/>
  <c r="CF55" i="17"/>
  <c r="C56" i="17"/>
  <c r="BW55" i="17"/>
  <c r="BV55" i="17"/>
  <c r="BZ54" i="17"/>
  <c r="CE54" i="17"/>
  <c r="CD54" i="17"/>
  <c r="BS53" i="17"/>
  <c r="BX53" i="17"/>
  <c r="B56" i="17"/>
  <c r="BY55" i="17"/>
  <c r="BO55" i="17"/>
  <c r="CH53" i="17"/>
  <c r="AQ54" i="17"/>
  <c r="AT54" i="17"/>
  <c r="AX34" i="6"/>
  <c r="AY34" i="6"/>
  <c r="AN34" i="6"/>
  <c r="AO34" i="6"/>
  <c r="J34" i="6"/>
  <c r="AE34" i="6"/>
  <c r="AD34" i="6"/>
  <c r="T34" i="6"/>
  <c r="U34" i="6"/>
  <c r="K34" i="6"/>
  <c r="DY53" i="17"/>
  <c r="AW34" i="6"/>
  <c r="AW33" i="6"/>
  <c r="W54" i="17"/>
  <c r="S55" i="17"/>
  <c r="T55" i="17"/>
  <c r="R54" i="17"/>
  <c r="I55" i="17"/>
  <c r="J55" i="17"/>
  <c r="M54" i="17"/>
  <c r="K56" i="17"/>
  <c r="U56" i="17"/>
  <c r="L56" i="17"/>
  <c r="V56" i="17"/>
  <c r="D56" i="17"/>
  <c r="E56" i="17"/>
  <c r="N56" i="17"/>
  <c r="O56" i="17"/>
  <c r="H54" i="17"/>
  <c r="DB54" i="17"/>
  <c r="DX54" i="17"/>
  <c r="DF54" i="17"/>
  <c r="DE55" i="17"/>
  <c r="DD54" i="17"/>
  <c r="X56" i="17"/>
  <c r="Y56" i="17" s="1"/>
  <c r="CI56" i="17"/>
  <c r="CJ56" i="17" s="1"/>
  <c r="DD53" i="17"/>
  <c r="AK33" i="6"/>
  <c r="AK34" i="6"/>
  <c r="Q33" i="6"/>
  <c r="I34" i="6"/>
  <c r="I33" i="6"/>
  <c r="L33" i="6"/>
  <c r="S34" i="6"/>
  <c r="AA34" i="6"/>
  <c r="AA33" i="6"/>
  <c r="V33" i="6"/>
  <c r="AZ33" i="6"/>
  <c r="AL34" i="6"/>
  <c r="AP33" i="6"/>
  <c r="AB34" i="6"/>
  <c r="AF33" i="6"/>
  <c r="AV34" i="6"/>
  <c r="BE33" i="6"/>
  <c r="R34" i="6"/>
  <c r="BJ33" i="6"/>
  <c r="BA35" i="6"/>
  <c r="BB35" i="6" s="1"/>
  <c r="W35" i="6"/>
  <c r="X35" i="6" s="1"/>
  <c r="M35" i="6"/>
  <c r="N35" i="6"/>
  <c r="C35" i="6"/>
  <c r="D35" i="6"/>
  <c r="AQ35" i="6"/>
  <c r="AR35" i="6" s="1"/>
  <c r="AG35" i="6"/>
  <c r="AH35" i="6" s="1"/>
  <c r="A36" i="6"/>
  <c r="BF34" i="6"/>
  <c r="BG34" i="6"/>
  <c r="H34" i="6"/>
  <c r="B53" i="6"/>
  <c r="BI52" i="6"/>
  <c r="BH52" i="6"/>
  <c r="E65" i="10"/>
  <c r="F65" i="10"/>
  <c r="G65" i="10"/>
  <c r="C66" i="10"/>
  <c r="BN53" i="17"/>
  <c r="AS53" i="17"/>
  <c r="AU54" i="17"/>
  <c r="CC54" i="17"/>
  <c r="CH54" i="17"/>
  <c r="AT55" i="17"/>
  <c r="AQ55" i="17"/>
  <c r="BT55" i="17"/>
  <c r="BP55" i="17"/>
  <c r="BU55" i="17"/>
  <c r="CD55" i="17"/>
  <c r="BZ55" i="17"/>
  <c r="CE55" i="17"/>
  <c r="C57" i="17"/>
  <c r="BW56" i="17"/>
  <c r="CG56" i="17"/>
  <c r="BV56" i="17"/>
  <c r="CF56" i="17"/>
  <c r="BX54" i="17"/>
  <c r="BS54" i="17"/>
  <c r="BY56" i="17"/>
  <c r="BO56" i="17"/>
  <c r="B57" i="17"/>
  <c r="AY35" i="6"/>
  <c r="AX35" i="6"/>
  <c r="AN35" i="6"/>
  <c r="AO35" i="6"/>
  <c r="AE35" i="6"/>
  <c r="T35" i="6"/>
  <c r="U35" i="6"/>
  <c r="K35" i="6"/>
  <c r="AD35" i="6"/>
  <c r="J35" i="6"/>
  <c r="DY54" i="17"/>
  <c r="AU34" i="6"/>
  <c r="AU35" i="6"/>
  <c r="S56" i="17"/>
  <c r="T56" i="17"/>
  <c r="K57" i="17"/>
  <c r="U57" i="17"/>
  <c r="L57" i="17"/>
  <c r="V57" i="17"/>
  <c r="I56" i="17"/>
  <c r="J56" i="17"/>
  <c r="M55" i="17"/>
  <c r="H55" i="17"/>
  <c r="W55" i="17"/>
  <c r="R55" i="17"/>
  <c r="D57" i="17"/>
  <c r="E57" i="17"/>
  <c r="N57" i="17"/>
  <c r="O57" i="17"/>
  <c r="X57" i="17"/>
  <c r="Y57" i="17" s="1"/>
  <c r="CI57" i="17"/>
  <c r="CJ57" i="17" s="1"/>
  <c r="DE56" i="17"/>
  <c r="DB55" i="17"/>
  <c r="DF55" i="17"/>
  <c r="AM34" i="6"/>
  <c r="AP34" i="6"/>
  <c r="AK35" i="6"/>
  <c r="AC34" i="6"/>
  <c r="AF34" i="6"/>
  <c r="Q34" i="6"/>
  <c r="AC35" i="6"/>
  <c r="G35" i="6"/>
  <c r="G34" i="6"/>
  <c r="S35" i="6"/>
  <c r="L34" i="6"/>
  <c r="H35" i="6"/>
  <c r="AZ34" i="6"/>
  <c r="V34" i="6"/>
  <c r="AL35" i="6"/>
  <c r="AB35" i="6"/>
  <c r="R35" i="6"/>
  <c r="BE34" i="6"/>
  <c r="BF35" i="6"/>
  <c r="BG35" i="6"/>
  <c r="BJ34" i="6"/>
  <c r="AV35" i="6"/>
  <c r="B54" i="6"/>
  <c r="BH53" i="6"/>
  <c r="BI53" i="6"/>
  <c r="BA36" i="6"/>
  <c r="BB36" i="6" s="1"/>
  <c r="A37" i="6"/>
  <c r="M36" i="6"/>
  <c r="N36" i="6"/>
  <c r="W36" i="6"/>
  <c r="X36" i="6" s="1"/>
  <c r="C36" i="6"/>
  <c r="D36" i="6"/>
  <c r="AQ36" i="6"/>
  <c r="AR36" i="6" s="1"/>
  <c r="AG36" i="6"/>
  <c r="AH36" i="6" s="1"/>
  <c r="E66" i="10"/>
  <c r="F66" i="10"/>
  <c r="G66" i="10"/>
  <c r="C67" i="10"/>
  <c r="AS54" i="17"/>
  <c r="BM54" i="17"/>
  <c r="BN54" i="17"/>
  <c r="AU55" i="17"/>
  <c r="BM55" i="17"/>
  <c r="BS55" i="17"/>
  <c r="CH55" i="17"/>
  <c r="CC55" i="17"/>
  <c r="BX55" i="17"/>
  <c r="AQ56" i="17"/>
  <c r="AT56" i="17"/>
  <c r="BP56" i="17"/>
  <c r="BU56" i="17"/>
  <c r="BT56" i="17"/>
  <c r="BZ56" i="17"/>
  <c r="CE56" i="17"/>
  <c r="CD56" i="17"/>
  <c r="BY57" i="17"/>
  <c r="B58" i="17"/>
  <c r="BO57" i="17"/>
  <c r="C58" i="17"/>
  <c r="BW57" i="17"/>
  <c r="BV57" i="17"/>
  <c r="CG57" i="17"/>
  <c r="CF57" i="17"/>
  <c r="AY36" i="6"/>
  <c r="AX36" i="6"/>
  <c r="AO36" i="6"/>
  <c r="AN36" i="6"/>
  <c r="AE36" i="6"/>
  <c r="J36" i="6"/>
  <c r="K36" i="6"/>
  <c r="AD36" i="6"/>
  <c r="U36" i="6"/>
  <c r="T36" i="6"/>
  <c r="AW35" i="6"/>
  <c r="H56" i="17"/>
  <c r="AM35" i="6"/>
  <c r="AP35" i="6"/>
  <c r="AW36" i="6"/>
  <c r="K58" i="17"/>
  <c r="U58" i="17"/>
  <c r="L58" i="17"/>
  <c r="V58" i="17"/>
  <c r="I57" i="17"/>
  <c r="J57" i="17"/>
  <c r="D58" i="17"/>
  <c r="E58" i="17"/>
  <c r="N58" i="17"/>
  <c r="O58" i="17"/>
  <c r="W56" i="17"/>
  <c r="S57" i="17"/>
  <c r="T57" i="17"/>
  <c r="M56" i="17"/>
  <c r="R56" i="17"/>
  <c r="DX55" i="17"/>
  <c r="DY55" i="17"/>
  <c r="DD55" i="17"/>
  <c r="DB56" i="17"/>
  <c r="DX56" i="17"/>
  <c r="DF56" i="17"/>
  <c r="X58" i="17"/>
  <c r="Y58" i="17" s="1"/>
  <c r="CI58" i="17"/>
  <c r="CJ58" i="17" s="1"/>
  <c r="DE57" i="17"/>
  <c r="AK36" i="6"/>
  <c r="I35" i="6"/>
  <c r="L35" i="6"/>
  <c r="Q35" i="6"/>
  <c r="S36" i="6"/>
  <c r="G36" i="6"/>
  <c r="AA35" i="6"/>
  <c r="AC36" i="6"/>
  <c r="V35" i="6"/>
  <c r="AF35" i="6"/>
  <c r="AZ35" i="6"/>
  <c r="AB36" i="6"/>
  <c r="AL36" i="6"/>
  <c r="R36" i="6"/>
  <c r="BA37" i="6"/>
  <c r="BB37" i="6" s="1"/>
  <c r="M37" i="6"/>
  <c r="N37" i="6"/>
  <c r="C37" i="6"/>
  <c r="D37" i="6"/>
  <c r="AG37" i="6"/>
  <c r="AH37" i="6" s="1"/>
  <c r="W37" i="6"/>
  <c r="X37" i="6" s="1"/>
  <c r="AQ37" i="6"/>
  <c r="AR37" i="6" s="1"/>
  <c r="A38" i="6"/>
  <c r="BE35" i="6"/>
  <c r="H36" i="6"/>
  <c r="BF36" i="6"/>
  <c r="BG36" i="6"/>
  <c r="BJ35" i="6"/>
  <c r="B55" i="6"/>
  <c r="BI54" i="6"/>
  <c r="BH54" i="6"/>
  <c r="AV36" i="6"/>
  <c r="E67" i="10"/>
  <c r="F67" i="10"/>
  <c r="G67" i="10"/>
  <c r="C68" i="10"/>
  <c r="AS55" i="17"/>
  <c r="BN55" i="17"/>
  <c r="AU56" i="17"/>
  <c r="BM56" i="17"/>
  <c r="CC56" i="17"/>
  <c r="CF58" i="17"/>
  <c r="BV58" i="17"/>
  <c r="C59" i="17"/>
  <c r="CG58" i="17"/>
  <c r="BW58" i="17"/>
  <c r="AQ57" i="17"/>
  <c r="AT57" i="17"/>
  <c r="BP57" i="17"/>
  <c r="BU57" i="17"/>
  <c r="BT57" i="17"/>
  <c r="BS56" i="17"/>
  <c r="BO58" i="17"/>
  <c r="BY58" i="17"/>
  <c r="B59" i="17"/>
  <c r="BX56" i="17"/>
  <c r="BZ57" i="17"/>
  <c r="CE57" i="17"/>
  <c r="CD57" i="17"/>
  <c r="AS56" i="17"/>
  <c r="CH56" i="17"/>
  <c r="G102" i="11"/>
  <c r="AY37" i="6"/>
  <c r="AX37" i="6"/>
  <c r="AO37" i="6"/>
  <c r="AN37" i="6"/>
  <c r="T37" i="6"/>
  <c r="J37" i="6"/>
  <c r="AE37" i="6"/>
  <c r="AD37" i="6"/>
  <c r="U37" i="6"/>
  <c r="K37" i="6"/>
  <c r="AU36" i="6"/>
  <c r="DY56" i="17"/>
  <c r="H57" i="17"/>
  <c r="M57" i="17"/>
  <c r="AU37" i="6"/>
  <c r="R57" i="17"/>
  <c r="W57" i="17"/>
  <c r="S58" i="17"/>
  <c r="T58" i="17"/>
  <c r="D59" i="17"/>
  <c r="E59" i="17"/>
  <c r="N59" i="17"/>
  <c r="O59" i="17"/>
  <c r="K59" i="17"/>
  <c r="U59" i="17"/>
  <c r="L59" i="17"/>
  <c r="V59" i="17"/>
  <c r="I58" i="17"/>
  <c r="J58" i="17"/>
  <c r="DE58" i="17"/>
  <c r="X59" i="17"/>
  <c r="Y59" i="17" s="1"/>
  <c r="CI59" i="17"/>
  <c r="CJ59" i="17" s="1"/>
  <c r="DB57" i="17"/>
  <c r="DX57" i="17"/>
  <c r="DF57" i="17"/>
  <c r="DD56" i="17"/>
  <c r="AM37" i="6"/>
  <c r="AM36" i="6"/>
  <c r="AP36" i="6"/>
  <c r="Q37" i="6"/>
  <c r="AA36" i="6"/>
  <c r="I36" i="6"/>
  <c r="L36" i="6"/>
  <c r="AC37" i="6"/>
  <c r="Q36" i="6"/>
  <c r="G37" i="6"/>
  <c r="AZ36" i="6"/>
  <c r="V36" i="6"/>
  <c r="AV37" i="6"/>
  <c r="AB37" i="6"/>
  <c r="AF36" i="6"/>
  <c r="R37" i="6"/>
  <c r="AL37" i="6"/>
  <c r="BE36" i="6"/>
  <c r="BJ36" i="6"/>
  <c r="H37" i="6"/>
  <c r="BF37" i="6"/>
  <c r="BG37" i="6"/>
  <c r="BA38" i="6"/>
  <c r="BB38" i="6" s="1"/>
  <c r="M38" i="6"/>
  <c r="N38" i="6"/>
  <c r="C38" i="6"/>
  <c r="D38" i="6"/>
  <c r="AG38" i="6"/>
  <c r="AH38" i="6" s="1"/>
  <c r="AQ38" i="6"/>
  <c r="AR38" i="6" s="1"/>
  <c r="W38" i="6"/>
  <c r="X38" i="6" s="1"/>
  <c r="A39" i="6"/>
  <c r="B56" i="6"/>
  <c r="BI55" i="6"/>
  <c r="BH55" i="6"/>
  <c r="E68" i="10"/>
  <c r="F68" i="10"/>
  <c r="G68" i="10"/>
  <c r="C69" i="10"/>
  <c r="BN56" i="17"/>
  <c r="AU57" i="17"/>
  <c r="BM57" i="17"/>
  <c r="CH57" i="17"/>
  <c r="BS57" i="17"/>
  <c r="CC57" i="17"/>
  <c r="BP58" i="17"/>
  <c r="BU58" i="17"/>
  <c r="BT58" i="17"/>
  <c r="BO59" i="17"/>
  <c r="BY59" i="17"/>
  <c r="B60" i="17"/>
  <c r="BZ58" i="17"/>
  <c r="CE58" i="17"/>
  <c r="CD58" i="17"/>
  <c r="AQ58" i="17"/>
  <c r="AT58" i="17"/>
  <c r="CF59" i="17"/>
  <c r="BV59" i="17"/>
  <c r="CG59" i="17"/>
  <c r="C60" i="17"/>
  <c r="BW59" i="17"/>
  <c r="BX57" i="17"/>
  <c r="G17" i="7"/>
  <c r="J17" i="7"/>
  <c r="K22" i="7"/>
  <c r="D27" i="17"/>
  <c r="E27" i="17"/>
  <c r="G38" i="7"/>
  <c r="J38" i="7"/>
  <c r="K43" i="7"/>
  <c r="N27" i="17"/>
  <c r="O27" i="17"/>
  <c r="AY38" i="6"/>
  <c r="AX38" i="6"/>
  <c r="AO38" i="6"/>
  <c r="AN38" i="6"/>
  <c r="K38" i="6"/>
  <c r="AD38" i="6"/>
  <c r="AE38" i="6"/>
  <c r="J38" i="6"/>
  <c r="U38" i="6"/>
  <c r="T38" i="6"/>
  <c r="DY57" i="17"/>
  <c r="J27" i="17"/>
  <c r="I27" i="17"/>
  <c r="S27" i="17"/>
  <c r="T27" i="17"/>
  <c r="AW37" i="6"/>
  <c r="AZ37" i="6"/>
  <c r="AU38" i="6"/>
  <c r="I59" i="17"/>
  <c r="J59" i="17"/>
  <c r="M58" i="17"/>
  <c r="H58" i="17"/>
  <c r="W58" i="17"/>
  <c r="R58" i="17"/>
  <c r="S59" i="17"/>
  <c r="T59" i="17"/>
  <c r="K60" i="17"/>
  <c r="U60" i="17"/>
  <c r="L60" i="17"/>
  <c r="V60" i="17"/>
  <c r="D60" i="17"/>
  <c r="E60" i="17"/>
  <c r="N60" i="17"/>
  <c r="O60" i="17"/>
  <c r="X60" i="17"/>
  <c r="Y60" i="17" s="1"/>
  <c r="CI60" i="17"/>
  <c r="CJ60" i="17" s="1"/>
  <c r="DE59" i="17"/>
  <c r="DB58" i="17"/>
  <c r="DX58" i="17"/>
  <c r="DF58" i="17"/>
  <c r="DD57" i="17"/>
  <c r="AK37" i="6"/>
  <c r="AM38" i="6"/>
  <c r="AA38" i="6"/>
  <c r="AA37" i="6"/>
  <c r="I38" i="6"/>
  <c r="S38" i="6"/>
  <c r="S37" i="6"/>
  <c r="V37" i="6"/>
  <c r="I37" i="6"/>
  <c r="L37" i="6"/>
  <c r="AF37" i="6"/>
  <c r="H38" i="6"/>
  <c r="R38" i="6"/>
  <c r="AL38" i="6"/>
  <c r="AV38" i="6"/>
  <c r="AP37" i="6"/>
  <c r="AB38" i="6"/>
  <c r="BA39" i="6"/>
  <c r="BB39" i="6" s="1"/>
  <c r="M39" i="6"/>
  <c r="N39" i="6"/>
  <c r="C39" i="6"/>
  <c r="D39" i="6"/>
  <c r="AQ39" i="6"/>
  <c r="AR39" i="6" s="1"/>
  <c r="A40" i="6"/>
  <c r="W39" i="6"/>
  <c r="X39" i="6" s="1"/>
  <c r="AG39" i="6"/>
  <c r="AH39" i="6" s="1"/>
  <c r="BE37" i="6"/>
  <c r="BJ37" i="6"/>
  <c r="B57" i="6"/>
  <c r="BI56" i="6"/>
  <c r="BH56" i="6"/>
  <c r="BF38" i="6"/>
  <c r="BG38" i="6"/>
  <c r="E69" i="10"/>
  <c r="F69" i="10"/>
  <c r="G69" i="10"/>
  <c r="C70" i="10"/>
  <c r="AS57" i="17"/>
  <c r="BN57" i="17"/>
  <c r="AU58" i="17"/>
  <c r="BM58" i="17"/>
  <c r="M27" i="6"/>
  <c r="N27" i="6"/>
  <c r="CH58" i="17"/>
  <c r="BX58" i="17"/>
  <c r="C61" i="17"/>
  <c r="CG60" i="17"/>
  <c r="CF60" i="17"/>
  <c r="BW60" i="17"/>
  <c r="BV60" i="17"/>
  <c r="CD59" i="17"/>
  <c r="BZ59" i="17"/>
  <c r="CE59" i="17"/>
  <c r="CC58" i="17"/>
  <c r="AT59" i="17"/>
  <c r="AQ59" i="17"/>
  <c r="BS58" i="17"/>
  <c r="BT59" i="17"/>
  <c r="BP59" i="17"/>
  <c r="BU59" i="17"/>
  <c r="BO60" i="17"/>
  <c r="BY60" i="17"/>
  <c r="B61" i="17"/>
  <c r="C27" i="6"/>
  <c r="D27" i="6"/>
  <c r="AY39" i="6"/>
  <c r="AN39" i="6"/>
  <c r="AO39" i="6"/>
  <c r="AX39" i="6"/>
  <c r="J39" i="6"/>
  <c r="U39" i="6"/>
  <c r="K39" i="6"/>
  <c r="AE39" i="6"/>
  <c r="AD39" i="6"/>
  <c r="T39" i="6"/>
  <c r="AK38" i="6"/>
  <c r="DY58" i="17"/>
  <c r="R27" i="17"/>
  <c r="H27" i="17"/>
  <c r="M27" i="17"/>
  <c r="W27" i="17"/>
  <c r="AU39" i="6"/>
  <c r="AW38" i="6"/>
  <c r="AZ38" i="6"/>
  <c r="I60" i="17"/>
  <c r="J60" i="17"/>
  <c r="K61" i="17"/>
  <c r="U61" i="17"/>
  <c r="L61" i="17"/>
  <c r="V61" i="17"/>
  <c r="W59" i="17"/>
  <c r="M59" i="17"/>
  <c r="D61" i="17"/>
  <c r="E61" i="17"/>
  <c r="N61" i="17"/>
  <c r="O61" i="17"/>
  <c r="S60" i="17"/>
  <c r="T60" i="17"/>
  <c r="R59" i="17"/>
  <c r="H59" i="17"/>
  <c r="DB59" i="17"/>
  <c r="DX59" i="17"/>
  <c r="DF59" i="17"/>
  <c r="DE60" i="17"/>
  <c r="X61" i="17"/>
  <c r="Y61" i="17" s="1"/>
  <c r="CI61" i="17"/>
  <c r="CJ61" i="17" s="1"/>
  <c r="DD58" i="17"/>
  <c r="AK39" i="6"/>
  <c r="AC38" i="6"/>
  <c r="AF38" i="6"/>
  <c r="Q39" i="6"/>
  <c r="Q38" i="6"/>
  <c r="I39" i="6"/>
  <c r="G38" i="6"/>
  <c r="AA39" i="6"/>
  <c r="V38" i="6"/>
  <c r="AP38" i="6"/>
  <c r="R39" i="6"/>
  <c r="L38" i="6"/>
  <c r="AB39" i="6"/>
  <c r="AV39" i="6"/>
  <c r="AL39" i="6"/>
  <c r="BJ38" i="6"/>
  <c r="BA40" i="6"/>
  <c r="BB40" i="6" s="1"/>
  <c r="AQ40" i="6"/>
  <c r="AR40" i="6" s="1"/>
  <c r="W40" i="6"/>
  <c r="X40" i="6" s="1"/>
  <c r="AG40" i="6"/>
  <c r="AH40" i="6" s="1"/>
  <c r="A41" i="6"/>
  <c r="M40" i="6"/>
  <c r="N40" i="6"/>
  <c r="C40" i="6"/>
  <c r="D40" i="6"/>
  <c r="B58" i="6"/>
  <c r="BI57" i="6"/>
  <c r="BH57" i="6"/>
  <c r="BF39" i="6"/>
  <c r="BG39" i="6"/>
  <c r="H39" i="6"/>
  <c r="BE38" i="6"/>
  <c r="E70" i="10"/>
  <c r="F70" i="10"/>
  <c r="G70" i="10"/>
  <c r="C71" i="10"/>
  <c r="AS58" i="17"/>
  <c r="BN58" i="17"/>
  <c r="AU59" i="17"/>
  <c r="BM59" i="17"/>
  <c r="R27" i="6"/>
  <c r="Q27" i="6"/>
  <c r="BP60" i="17"/>
  <c r="BU60" i="17"/>
  <c r="BT60" i="17"/>
  <c r="BO61" i="17"/>
  <c r="BY61" i="17"/>
  <c r="B62" i="17"/>
  <c r="BS59" i="17"/>
  <c r="CC59" i="17"/>
  <c r="BX59" i="17"/>
  <c r="CH59" i="17"/>
  <c r="BZ60" i="17"/>
  <c r="CE60" i="17"/>
  <c r="CD60" i="17"/>
  <c r="AQ60" i="17"/>
  <c r="AT60" i="17"/>
  <c r="C62" i="17"/>
  <c r="CG61" i="17"/>
  <c r="BV61" i="17"/>
  <c r="CF61" i="17"/>
  <c r="BW61" i="17"/>
  <c r="H27" i="6"/>
  <c r="AY40" i="6"/>
  <c r="AX40" i="6"/>
  <c r="AO40" i="6"/>
  <c r="AN40" i="6"/>
  <c r="AD40" i="6"/>
  <c r="AE40" i="6"/>
  <c r="T40" i="6"/>
  <c r="K40" i="6"/>
  <c r="J40" i="6"/>
  <c r="U40" i="6"/>
  <c r="AW39" i="6"/>
  <c r="DY59" i="17"/>
  <c r="AU40" i="6"/>
  <c r="K62" i="17"/>
  <c r="U62" i="17"/>
  <c r="L62" i="17"/>
  <c r="V62" i="17"/>
  <c r="R60" i="17"/>
  <c r="I61" i="17"/>
  <c r="J61" i="17"/>
  <c r="M60" i="17"/>
  <c r="D62" i="17"/>
  <c r="E62" i="17"/>
  <c r="N62" i="17"/>
  <c r="O62" i="17"/>
  <c r="S61" i="17"/>
  <c r="T61" i="17"/>
  <c r="H60" i="17"/>
  <c r="W60" i="17"/>
  <c r="DE61" i="17"/>
  <c r="DB60" i="17"/>
  <c r="DX60" i="17"/>
  <c r="DF60" i="17"/>
  <c r="X62" i="17"/>
  <c r="Y62" i="17" s="1"/>
  <c r="CI62" i="17"/>
  <c r="CJ62" i="17" s="1"/>
  <c r="DD59" i="17"/>
  <c r="AK40" i="6"/>
  <c r="AM39" i="6"/>
  <c r="AP39" i="6"/>
  <c r="AC39" i="6"/>
  <c r="AF39" i="6"/>
  <c r="S39" i="6"/>
  <c r="V39" i="6"/>
  <c r="AA40" i="6"/>
  <c r="G39" i="6"/>
  <c r="I40" i="6"/>
  <c r="S40" i="6"/>
  <c r="G27" i="6"/>
  <c r="AV40" i="6"/>
  <c r="H40" i="6"/>
  <c r="L39" i="6"/>
  <c r="AZ39" i="6"/>
  <c r="R40" i="6"/>
  <c r="AB40" i="6"/>
  <c r="AL40" i="6"/>
  <c r="BJ39" i="6"/>
  <c r="BA41" i="6"/>
  <c r="BB41" i="6" s="1"/>
  <c r="M41" i="6"/>
  <c r="N41" i="6"/>
  <c r="C41" i="6"/>
  <c r="D41" i="6"/>
  <c r="AG41" i="6"/>
  <c r="AH41" i="6" s="1"/>
  <c r="AQ41" i="6"/>
  <c r="AR41" i="6" s="1"/>
  <c r="W41" i="6"/>
  <c r="X41" i="6" s="1"/>
  <c r="A42" i="6"/>
  <c r="BE39" i="6"/>
  <c r="B59" i="6"/>
  <c r="BI58" i="6"/>
  <c r="BH58" i="6"/>
  <c r="BF40" i="6"/>
  <c r="BG40" i="6"/>
  <c r="E71" i="10"/>
  <c r="F71" i="10"/>
  <c r="G71" i="10"/>
  <c r="C72" i="10"/>
  <c r="AS59" i="17"/>
  <c r="BN59" i="17"/>
  <c r="AU60" i="17"/>
  <c r="BM60" i="17"/>
  <c r="S27" i="6"/>
  <c r="V27" i="6"/>
  <c r="BS60" i="17"/>
  <c r="CH60" i="17"/>
  <c r="AQ61" i="17"/>
  <c r="AT61" i="17"/>
  <c r="CF62" i="17"/>
  <c r="BV62" i="17"/>
  <c r="CG62" i="17"/>
  <c r="C63" i="17"/>
  <c r="BW62" i="17"/>
  <c r="B63" i="17"/>
  <c r="BO62" i="17"/>
  <c r="BY62" i="17"/>
  <c r="BZ61" i="17"/>
  <c r="CE61" i="17"/>
  <c r="CD61" i="17"/>
  <c r="BX60" i="17"/>
  <c r="CC60" i="17"/>
  <c r="BP61" i="17"/>
  <c r="BU61" i="17"/>
  <c r="BT61" i="17"/>
  <c r="I27" i="6"/>
  <c r="AX41" i="6"/>
  <c r="AN41" i="6"/>
  <c r="AY41" i="6"/>
  <c r="AO41" i="6"/>
  <c r="AE41" i="6"/>
  <c r="K41" i="6"/>
  <c r="U41" i="6"/>
  <c r="J41" i="6"/>
  <c r="T41" i="6"/>
  <c r="AD41" i="6"/>
  <c r="DD60" i="17"/>
  <c r="DY60" i="17"/>
  <c r="H61" i="17"/>
  <c r="M61" i="17"/>
  <c r="AU41" i="6"/>
  <c r="AW40" i="6"/>
  <c r="AZ40" i="6"/>
  <c r="R61" i="17"/>
  <c r="W61" i="17"/>
  <c r="S62" i="17"/>
  <c r="T62" i="17"/>
  <c r="I62" i="17"/>
  <c r="J62" i="17"/>
  <c r="D63" i="17"/>
  <c r="E63" i="17"/>
  <c r="N63" i="17"/>
  <c r="O63" i="17"/>
  <c r="K63" i="17"/>
  <c r="U63" i="17"/>
  <c r="L63" i="17"/>
  <c r="V63" i="17"/>
  <c r="DE62" i="17"/>
  <c r="X63" i="17"/>
  <c r="Y63" i="17" s="1"/>
  <c r="CI63" i="17"/>
  <c r="CJ63" i="17" s="1"/>
  <c r="DB61" i="17"/>
  <c r="DX61" i="17"/>
  <c r="DF61" i="17"/>
  <c r="AM40" i="6"/>
  <c r="AP40" i="6"/>
  <c r="AK41" i="6"/>
  <c r="AC40" i="6"/>
  <c r="AF40" i="6"/>
  <c r="Q40" i="6"/>
  <c r="AA41" i="6"/>
  <c r="G40" i="6"/>
  <c r="G41" i="6"/>
  <c r="S41" i="6"/>
  <c r="L27" i="6"/>
  <c r="L40" i="6"/>
  <c r="H41" i="6"/>
  <c r="R41" i="6"/>
  <c r="V40" i="6"/>
  <c r="AB41" i="6"/>
  <c r="AL41" i="6"/>
  <c r="BA42" i="6"/>
  <c r="BB42" i="6" s="1"/>
  <c r="W42" i="6"/>
  <c r="X42" i="6" s="1"/>
  <c r="A43" i="6"/>
  <c r="M42" i="6"/>
  <c r="N42" i="6"/>
  <c r="AQ42" i="6"/>
  <c r="AR42" i="6" s="1"/>
  <c r="C42" i="6"/>
  <c r="D42" i="6"/>
  <c r="AG42" i="6"/>
  <c r="AH42" i="6" s="1"/>
  <c r="BE40" i="6"/>
  <c r="BJ40" i="6"/>
  <c r="B60" i="6"/>
  <c r="BI59" i="6"/>
  <c r="BH59" i="6"/>
  <c r="AV41" i="6"/>
  <c r="BF41" i="6"/>
  <c r="BG41" i="6"/>
  <c r="E72" i="10"/>
  <c r="F72" i="10"/>
  <c r="G72" i="10"/>
  <c r="C73" i="10"/>
  <c r="BN60" i="17"/>
  <c r="AS60" i="17"/>
  <c r="AU61" i="17"/>
  <c r="B64" i="17"/>
  <c r="BY63" i="17"/>
  <c r="BO63" i="17"/>
  <c r="CD62" i="17"/>
  <c r="BZ62" i="17"/>
  <c r="CE62" i="17"/>
  <c r="CF63" i="17"/>
  <c r="BV63" i="17"/>
  <c r="CG63" i="17"/>
  <c r="BW63" i="17"/>
  <c r="C64" i="17"/>
  <c r="BP62" i="17"/>
  <c r="BU62" i="17"/>
  <c r="BT62" i="17"/>
  <c r="BX61" i="17"/>
  <c r="CC61" i="17"/>
  <c r="AT62" i="17"/>
  <c r="AQ62" i="17"/>
  <c r="BS61" i="17"/>
  <c r="CH61" i="17"/>
  <c r="AY42" i="6"/>
  <c r="AX42" i="6"/>
  <c r="AN42" i="6"/>
  <c r="AO42" i="6"/>
  <c r="U42" i="6"/>
  <c r="J42" i="6"/>
  <c r="K42" i="6"/>
  <c r="AD42" i="6"/>
  <c r="T42" i="6"/>
  <c r="AE42" i="6"/>
  <c r="DY61" i="17"/>
  <c r="AU42" i="6"/>
  <c r="AW41" i="6"/>
  <c r="AZ41" i="6"/>
  <c r="M62" i="17"/>
  <c r="W62" i="17"/>
  <c r="H62" i="17"/>
  <c r="R62" i="17"/>
  <c r="K64" i="17"/>
  <c r="U64" i="17"/>
  <c r="L64" i="17"/>
  <c r="V64" i="17"/>
  <c r="D64" i="17"/>
  <c r="E64" i="17"/>
  <c r="N64" i="17"/>
  <c r="O64" i="17"/>
  <c r="S63" i="17"/>
  <c r="T63" i="17"/>
  <c r="I63" i="17"/>
  <c r="J63" i="17"/>
  <c r="X64" i="17"/>
  <c r="Y64" i="17" s="1"/>
  <c r="CI64" i="17"/>
  <c r="CJ64" i="17" s="1"/>
  <c r="DE63" i="17"/>
  <c r="DB62" i="17"/>
  <c r="DX62" i="17"/>
  <c r="DF62" i="17"/>
  <c r="DD61" i="17"/>
  <c r="AK42" i="6"/>
  <c r="AM41" i="6"/>
  <c r="AP41" i="6"/>
  <c r="I41" i="6"/>
  <c r="L41" i="6"/>
  <c r="AC41" i="6"/>
  <c r="AF41" i="6"/>
  <c r="AA42" i="6"/>
  <c r="Q41" i="6"/>
  <c r="S42" i="6"/>
  <c r="G42" i="6"/>
  <c r="AL42" i="6"/>
  <c r="AV42" i="6"/>
  <c r="V41" i="6"/>
  <c r="R42" i="6"/>
  <c r="AB42" i="6"/>
  <c r="I42" i="6"/>
  <c r="H42" i="6"/>
  <c r="BE41" i="6"/>
  <c r="BG42" i="6"/>
  <c r="BF42" i="6"/>
  <c r="BJ41" i="6"/>
  <c r="B61" i="6"/>
  <c r="BI60" i="6"/>
  <c r="BH60" i="6"/>
  <c r="BA43" i="6"/>
  <c r="BB43" i="6" s="1"/>
  <c r="W43" i="6"/>
  <c r="X43" i="6" s="1"/>
  <c r="AG43" i="6"/>
  <c r="AH43" i="6" s="1"/>
  <c r="AQ43" i="6"/>
  <c r="AR43" i="6" s="1"/>
  <c r="C43" i="6"/>
  <c r="D43" i="6"/>
  <c r="A44" i="6"/>
  <c r="M43" i="6"/>
  <c r="N43" i="6"/>
  <c r="E73" i="10"/>
  <c r="F73" i="10"/>
  <c r="G73" i="10"/>
  <c r="C74" i="10"/>
  <c r="AS61" i="17"/>
  <c r="BM61" i="17"/>
  <c r="BN61" i="17"/>
  <c r="AU62" i="17"/>
  <c r="BM62" i="17"/>
  <c r="BS62" i="17"/>
  <c r="BX62" i="17"/>
  <c r="BT63" i="17"/>
  <c r="BP63" i="17"/>
  <c r="BU63" i="17"/>
  <c r="CD63" i="17"/>
  <c r="BZ63" i="17"/>
  <c r="CE63" i="17"/>
  <c r="CC62" i="17"/>
  <c r="CH62" i="17"/>
  <c r="B65" i="17"/>
  <c r="BO64" i="17"/>
  <c r="BY64" i="17"/>
  <c r="C65" i="17"/>
  <c r="CG64" i="17"/>
  <c r="CF64" i="17"/>
  <c r="BW64" i="17"/>
  <c r="BV64" i="17"/>
  <c r="AT63" i="17"/>
  <c r="AQ63" i="17"/>
  <c r="AY43" i="6"/>
  <c r="AX43" i="6"/>
  <c r="AN43" i="6"/>
  <c r="AO43" i="6"/>
  <c r="J43" i="6"/>
  <c r="AD43" i="6"/>
  <c r="T43" i="6"/>
  <c r="AE43" i="6"/>
  <c r="K43" i="6"/>
  <c r="U43" i="6"/>
  <c r="DY62" i="17"/>
  <c r="M63" i="17"/>
  <c r="H63" i="17"/>
  <c r="AM42" i="6"/>
  <c r="AP42" i="6"/>
  <c r="AU43" i="6"/>
  <c r="AW42" i="6"/>
  <c r="AZ42" i="6"/>
  <c r="W63" i="17"/>
  <c r="R63" i="17"/>
  <c r="S64" i="17"/>
  <c r="T64" i="17"/>
  <c r="K65" i="17"/>
  <c r="U65" i="17"/>
  <c r="L65" i="17"/>
  <c r="V65" i="17"/>
  <c r="DD62" i="17"/>
  <c r="I64" i="17"/>
  <c r="J64" i="17"/>
  <c r="D65" i="17"/>
  <c r="E65" i="17"/>
  <c r="N65" i="17"/>
  <c r="O65" i="17"/>
  <c r="DE64" i="17"/>
  <c r="DB63" i="17"/>
  <c r="DX63" i="17"/>
  <c r="DF63" i="17"/>
  <c r="X65" i="17"/>
  <c r="Y65" i="17" s="1"/>
  <c r="CI65" i="17"/>
  <c r="CJ65" i="17" s="1"/>
  <c r="AK43" i="6"/>
  <c r="AC42" i="6"/>
  <c r="AF42" i="6"/>
  <c r="G43" i="6"/>
  <c r="AC43" i="6"/>
  <c r="Q42" i="6"/>
  <c r="S43" i="6"/>
  <c r="V42" i="6"/>
  <c r="AL43" i="6"/>
  <c r="R43" i="6"/>
  <c r="L42" i="6"/>
  <c r="H43" i="6"/>
  <c r="AB43" i="6"/>
  <c r="BJ42" i="6"/>
  <c r="AV43" i="6"/>
  <c r="BF43" i="6"/>
  <c r="BG43" i="6"/>
  <c r="BA44" i="6"/>
  <c r="BB44" i="6" s="1"/>
  <c r="W44" i="6"/>
  <c r="X44" i="6" s="1"/>
  <c r="A45" i="6"/>
  <c r="M44" i="6"/>
  <c r="N44" i="6"/>
  <c r="C44" i="6"/>
  <c r="D44" i="6"/>
  <c r="AG44" i="6"/>
  <c r="AH44" i="6" s="1"/>
  <c r="AQ44" i="6"/>
  <c r="AR44" i="6" s="1"/>
  <c r="B62" i="6"/>
  <c r="BI61" i="6"/>
  <c r="BH61" i="6"/>
  <c r="BE42" i="6"/>
  <c r="E74" i="10"/>
  <c r="F74" i="10"/>
  <c r="G74" i="10"/>
  <c r="C75" i="10"/>
  <c r="AS62" i="17"/>
  <c r="BN62" i="17"/>
  <c r="AU63" i="17"/>
  <c r="BM63" i="17"/>
  <c r="BZ64" i="17"/>
  <c r="CE64" i="17"/>
  <c r="CD64" i="17"/>
  <c r="CC63" i="17"/>
  <c r="BP64" i="17"/>
  <c r="BU64" i="17"/>
  <c r="BT64" i="17"/>
  <c r="BY65" i="17"/>
  <c r="BO65" i="17"/>
  <c r="B66" i="17"/>
  <c r="CH63" i="17"/>
  <c r="AQ64" i="17"/>
  <c r="AT64" i="17"/>
  <c r="BS63" i="17"/>
  <c r="C66" i="17"/>
  <c r="CG65" i="17"/>
  <c r="CF65" i="17"/>
  <c r="BW65" i="17"/>
  <c r="BV65" i="17"/>
  <c r="BX63" i="17"/>
  <c r="AO44" i="6"/>
  <c r="AY44" i="6"/>
  <c r="AX44" i="6"/>
  <c r="AN44" i="6"/>
  <c r="AD44" i="6"/>
  <c r="J44" i="6"/>
  <c r="U44" i="6"/>
  <c r="T44" i="6"/>
  <c r="AE44" i="6"/>
  <c r="K44" i="6"/>
  <c r="DY63" i="17"/>
  <c r="W64" i="17"/>
  <c r="AU44" i="6"/>
  <c r="AW43" i="6"/>
  <c r="S65" i="17"/>
  <c r="T65" i="17"/>
  <c r="L66" i="17"/>
  <c r="V66" i="17"/>
  <c r="K66" i="17"/>
  <c r="U66" i="17"/>
  <c r="I65" i="17"/>
  <c r="J65" i="17"/>
  <c r="N66" i="17"/>
  <c r="O66" i="17"/>
  <c r="D66" i="17"/>
  <c r="E66" i="17"/>
  <c r="M64" i="17"/>
  <c r="H64" i="17"/>
  <c r="R64" i="17"/>
  <c r="DB64" i="17"/>
  <c r="DX64" i="17"/>
  <c r="DF64" i="17"/>
  <c r="DE65" i="17"/>
  <c r="X66" i="17"/>
  <c r="Y66" i="17" s="1"/>
  <c r="CI66" i="17"/>
  <c r="CJ66" i="17" s="1"/>
  <c r="DD63" i="17"/>
  <c r="AK44" i="6"/>
  <c r="AM43" i="6"/>
  <c r="AP43" i="6"/>
  <c r="Q43" i="6"/>
  <c r="H44" i="6"/>
  <c r="I44" i="6"/>
  <c r="I43" i="6"/>
  <c r="L43" i="6"/>
  <c r="AA43" i="6"/>
  <c r="AC44" i="6"/>
  <c r="S44" i="6"/>
  <c r="AL44" i="6"/>
  <c r="V43" i="6"/>
  <c r="R44" i="6"/>
  <c r="AF43" i="6"/>
  <c r="AZ43" i="6"/>
  <c r="BJ43" i="6"/>
  <c r="AB44" i="6"/>
  <c r="BF44" i="6"/>
  <c r="BG44" i="6"/>
  <c r="BA45" i="6"/>
  <c r="BB45" i="6" s="1"/>
  <c r="M45" i="6"/>
  <c r="N45" i="6"/>
  <c r="C45" i="6"/>
  <c r="D45" i="6"/>
  <c r="AG45" i="6"/>
  <c r="AH45" i="6" s="1"/>
  <c r="AQ45" i="6"/>
  <c r="AR45" i="6" s="1"/>
  <c r="W45" i="6"/>
  <c r="X45" i="6" s="1"/>
  <c r="A46" i="6"/>
  <c r="AV44" i="6"/>
  <c r="B63" i="6"/>
  <c r="BI62" i="6"/>
  <c r="BH62" i="6"/>
  <c r="BE43" i="6"/>
  <c r="E75" i="10"/>
  <c r="F75" i="10"/>
  <c r="G75" i="10"/>
  <c r="C76" i="10"/>
  <c r="BN63" i="17"/>
  <c r="AS63" i="17"/>
  <c r="AU64" i="17"/>
  <c r="BM64" i="17"/>
  <c r="CC64" i="17"/>
  <c r="BS64" i="17"/>
  <c r="B67" i="17"/>
  <c r="BY66" i="17"/>
  <c r="BO66" i="17"/>
  <c r="BP65" i="17"/>
  <c r="BU65" i="17"/>
  <c r="BT65" i="17"/>
  <c r="BZ65" i="17"/>
  <c r="CE65" i="17"/>
  <c r="CD65" i="17"/>
  <c r="AQ65" i="17"/>
  <c r="AT65" i="17"/>
  <c r="CH64" i="17"/>
  <c r="CF66" i="17"/>
  <c r="BV66" i="17"/>
  <c r="CG66" i="17"/>
  <c r="C67" i="17"/>
  <c r="BW66" i="17"/>
  <c r="BX64" i="17"/>
  <c r="AX45" i="6"/>
  <c r="AY45" i="6"/>
  <c r="AO45" i="6"/>
  <c r="AN45" i="6"/>
  <c r="U45" i="6"/>
  <c r="K45" i="6"/>
  <c r="AE45" i="6"/>
  <c r="AD45" i="6"/>
  <c r="T45" i="6"/>
  <c r="J45" i="6"/>
  <c r="AW44" i="6"/>
  <c r="AZ44" i="6"/>
  <c r="DD64" i="17"/>
  <c r="DY64" i="17"/>
  <c r="AU45" i="6"/>
  <c r="D67" i="17"/>
  <c r="E67" i="17"/>
  <c r="N67" i="17"/>
  <c r="O67" i="17"/>
  <c r="I66" i="17"/>
  <c r="J66" i="17"/>
  <c r="T66" i="17"/>
  <c r="S66" i="17"/>
  <c r="L67" i="17"/>
  <c r="V67" i="17"/>
  <c r="K67" i="17"/>
  <c r="U67" i="17"/>
  <c r="W65" i="17"/>
  <c r="M65" i="17"/>
  <c r="R65" i="17"/>
  <c r="H65" i="17"/>
  <c r="DB65" i="17"/>
  <c r="DF65" i="17"/>
  <c r="X67" i="17"/>
  <c r="Y67" i="17" s="1"/>
  <c r="CI67" i="17"/>
  <c r="CJ67" i="17" s="1"/>
  <c r="DE66" i="17"/>
  <c r="AK45" i="6"/>
  <c r="AM44" i="6"/>
  <c r="AP44" i="6"/>
  <c r="Q44" i="6"/>
  <c r="G45" i="6"/>
  <c r="Q45" i="6"/>
  <c r="AA44" i="6"/>
  <c r="AC45" i="6"/>
  <c r="L44" i="6"/>
  <c r="H45" i="6"/>
  <c r="AL45" i="6"/>
  <c r="V44" i="6"/>
  <c r="AV45" i="6"/>
  <c r="R45" i="6"/>
  <c r="AF44" i="6"/>
  <c r="BE44" i="6"/>
  <c r="BJ44" i="6"/>
  <c r="B64" i="6"/>
  <c r="BI63" i="6"/>
  <c r="BH63" i="6"/>
  <c r="AB45" i="6"/>
  <c r="G44" i="6"/>
  <c r="BF45" i="6"/>
  <c r="BG45" i="6"/>
  <c r="BA46" i="6"/>
  <c r="BB46" i="6" s="1"/>
  <c r="M46" i="6"/>
  <c r="N46" i="6"/>
  <c r="AG46" i="6"/>
  <c r="AH46" i="6" s="1"/>
  <c r="AQ46" i="6"/>
  <c r="AR46" i="6" s="1"/>
  <c r="W46" i="6"/>
  <c r="X46" i="6" s="1"/>
  <c r="C46" i="6"/>
  <c r="D46" i="6"/>
  <c r="A47" i="6"/>
  <c r="E76" i="10"/>
  <c r="F76" i="10"/>
  <c r="G76" i="10"/>
  <c r="C77" i="10"/>
  <c r="AS64" i="17"/>
  <c r="BN64" i="17"/>
  <c r="AU65" i="17"/>
  <c r="BM65" i="17"/>
  <c r="CC65" i="17"/>
  <c r="CH65" i="17"/>
  <c r="CG67" i="17"/>
  <c r="BW67" i="17"/>
  <c r="CF67" i="17"/>
  <c r="BV67" i="17"/>
  <c r="C68" i="17"/>
  <c r="BX65" i="17"/>
  <c r="BZ66" i="17"/>
  <c r="CE66" i="17"/>
  <c r="CD66" i="17"/>
  <c r="B68" i="17"/>
  <c r="BY67" i="17"/>
  <c r="BO67" i="17"/>
  <c r="AQ66" i="17"/>
  <c r="AT66" i="17"/>
  <c r="BT66" i="17"/>
  <c r="BP66" i="17"/>
  <c r="BU66" i="17"/>
  <c r="BS65" i="17"/>
  <c r="AY46" i="6"/>
  <c r="AX46" i="6"/>
  <c r="AO46" i="6"/>
  <c r="AN46" i="6"/>
  <c r="AE46" i="6"/>
  <c r="J46" i="6"/>
  <c r="U46" i="6"/>
  <c r="K46" i="6"/>
  <c r="AD46" i="6"/>
  <c r="T46" i="6"/>
  <c r="AW45" i="6"/>
  <c r="AZ45" i="6"/>
  <c r="W66" i="17"/>
  <c r="R66" i="17"/>
  <c r="AW46" i="6"/>
  <c r="L68" i="17"/>
  <c r="V68" i="17"/>
  <c r="K68" i="17"/>
  <c r="U68" i="17"/>
  <c r="M66" i="17"/>
  <c r="H66" i="17"/>
  <c r="T67" i="17"/>
  <c r="S67" i="17"/>
  <c r="D68" i="17"/>
  <c r="E68" i="17"/>
  <c r="N68" i="17"/>
  <c r="O68" i="17"/>
  <c r="J67" i="17"/>
  <c r="I67" i="17"/>
  <c r="DE67" i="17"/>
  <c r="DB66" i="17"/>
  <c r="DX66" i="17"/>
  <c r="DF66" i="17"/>
  <c r="X68" i="17"/>
  <c r="Y68" i="17" s="1"/>
  <c r="CI68" i="17"/>
  <c r="CJ68" i="17" s="1"/>
  <c r="DX65" i="17"/>
  <c r="DY65" i="17"/>
  <c r="DD65" i="17"/>
  <c r="AK46" i="6"/>
  <c r="AM45" i="6"/>
  <c r="AP45" i="6"/>
  <c r="S45" i="6"/>
  <c r="V45" i="6"/>
  <c r="AA45" i="6"/>
  <c r="I46" i="6"/>
  <c r="AC46" i="6"/>
  <c r="I45" i="6"/>
  <c r="L45" i="6"/>
  <c r="AL46" i="6"/>
  <c r="AF45" i="6"/>
  <c r="AB46" i="6"/>
  <c r="AV46" i="6"/>
  <c r="BJ45" i="6"/>
  <c r="S46" i="6"/>
  <c r="BF46" i="6"/>
  <c r="BG46" i="6"/>
  <c r="B65" i="6"/>
  <c r="BI64" i="6"/>
  <c r="BH64" i="6"/>
  <c r="H46" i="6"/>
  <c r="R46" i="6"/>
  <c r="BA47" i="6"/>
  <c r="BB47" i="6" s="1"/>
  <c r="AQ47" i="6"/>
  <c r="AR47" i="6" s="1"/>
  <c r="W47" i="6"/>
  <c r="X47" i="6" s="1"/>
  <c r="AG47" i="6"/>
  <c r="AH47" i="6" s="1"/>
  <c r="A48" i="6"/>
  <c r="M47" i="6"/>
  <c r="N47" i="6"/>
  <c r="C47" i="6"/>
  <c r="D47" i="6"/>
  <c r="BE45" i="6"/>
  <c r="E77" i="10"/>
  <c r="F77" i="10"/>
  <c r="G77" i="10"/>
  <c r="C78" i="10"/>
  <c r="AS65" i="17"/>
  <c r="BN65" i="17"/>
  <c r="AU66" i="17"/>
  <c r="BM66" i="17"/>
  <c r="AT67" i="17"/>
  <c r="AQ67" i="17"/>
  <c r="BT67" i="17"/>
  <c r="BP67" i="17"/>
  <c r="BU67" i="17"/>
  <c r="CH66" i="17"/>
  <c r="BZ67" i="17"/>
  <c r="CE67" i="17"/>
  <c r="CD67" i="17"/>
  <c r="BS66" i="17"/>
  <c r="B69" i="17"/>
  <c r="BO68" i="17"/>
  <c r="BY68" i="17"/>
  <c r="CC66" i="17"/>
  <c r="BX66" i="17"/>
  <c r="CG68" i="17"/>
  <c r="BW68" i="17"/>
  <c r="BV68" i="17"/>
  <c r="CF68" i="17"/>
  <c r="C69" i="17"/>
  <c r="AY47" i="6"/>
  <c r="AX47" i="6"/>
  <c r="AN47" i="6"/>
  <c r="AO47" i="6"/>
  <c r="J47" i="6"/>
  <c r="AD47" i="6"/>
  <c r="AE47" i="6"/>
  <c r="K47" i="6"/>
  <c r="T47" i="6"/>
  <c r="U47" i="6"/>
  <c r="AU46" i="6"/>
  <c r="DY66" i="17"/>
  <c r="AU47" i="6"/>
  <c r="M67" i="17"/>
  <c r="H67" i="17"/>
  <c r="J68" i="17"/>
  <c r="I68" i="17"/>
  <c r="L69" i="17"/>
  <c r="V69" i="17"/>
  <c r="K69" i="17"/>
  <c r="U69" i="17"/>
  <c r="D69" i="17"/>
  <c r="E69" i="17"/>
  <c r="N69" i="17"/>
  <c r="O69" i="17"/>
  <c r="T68" i="17"/>
  <c r="S68" i="17"/>
  <c r="W67" i="17"/>
  <c r="R67" i="17"/>
  <c r="DE68" i="17"/>
  <c r="X69" i="17"/>
  <c r="Y69" i="17" s="1"/>
  <c r="CI69" i="17"/>
  <c r="CJ69" i="17" s="1"/>
  <c r="DB67" i="17"/>
  <c r="DX67" i="17"/>
  <c r="DF67" i="17"/>
  <c r="DD66" i="17"/>
  <c r="AK47" i="6"/>
  <c r="AM46" i="6"/>
  <c r="AP46" i="6"/>
  <c r="AA47" i="6"/>
  <c r="AA46" i="6"/>
  <c r="H47" i="6"/>
  <c r="I47" i="6"/>
  <c r="L47" i="6"/>
  <c r="G46" i="6"/>
  <c r="S47" i="6"/>
  <c r="L46" i="6"/>
  <c r="AZ46" i="6"/>
  <c r="R47" i="6"/>
  <c r="AF46" i="6"/>
  <c r="AB47" i="6"/>
  <c r="V46" i="6"/>
  <c r="Q46" i="6"/>
  <c r="AL47" i="6"/>
  <c r="BF47" i="6"/>
  <c r="BG47" i="6"/>
  <c r="BJ46" i="6"/>
  <c r="AV47" i="6"/>
  <c r="BE46" i="6"/>
  <c r="BA48" i="6"/>
  <c r="BB48" i="6" s="1"/>
  <c r="A49" i="6"/>
  <c r="AG48" i="6"/>
  <c r="AH48" i="6" s="1"/>
  <c r="M48" i="6"/>
  <c r="N48" i="6"/>
  <c r="C48" i="6"/>
  <c r="AQ48" i="6"/>
  <c r="AR48" i="6" s="1"/>
  <c r="W48" i="6"/>
  <c r="X48" i="6" s="1"/>
  <c r="B66" i="6"/>
  <c r="BI65" i="6"/>
  <c r="BH65" i="6"/>
  <c r="E78" i="10"/>
  <c r="F78" i="10"/>
  <c r="G78" i="10"/>
  <c r="C79" i="10"/>
  <c r="BN66" i="17"/>
  <c r="AS66" i="17"/>
  <c r="AU67" i="17"/>
  <c r="BM67" i="17"/>
  <c r="BZ68" i="17"/>
  <c r="CE68" i="17"/>
  <c r="CD68" i="17"/>
  <c r="BT68" i="17"/>
  <c r="BP68" i="17"/>
  <c r="BU68" i="17"/>
  <c r="BS67" i="17"/>
  <c r="CH67" i="17"/>
  <c r="CG69" i="17"/>
  <c r="C70" i="17"/>
  <c r="BW69" i="17"/>
  <c r="BV69" i="17"/>
  <c r="CF69" i="17"/>
  <c r="B70" i="17"/>
  <c r="BY69" i="17"/>
  <c r="BO69" i="17"/>
  <c r="BX67" i="17"/>
  <c r="AT68" i="17"/>
  <c r="AQ68" i="17"/>
  <c r="CC67" i="17"/>
  <c r="AY48" i="6"/>
  <c r="AX48" i="6"/>
  <c r="AO48" i="6"/>
  <c r="AN48" i="6"/>
  <c r="AD48" i="6"/>
  <c r="AE48" i="6"/>
  <c r="T48" i="6"/>
  <c r="K48" i="6"/>
  <c r="J48" i="6"/>
  <c r="U48" i="6"/>
  <c r="H48" i="6"/>
  <c r="D48" i="6"/>
  <c r="G48" i="6"/>
  <c r="DY67" i="17"/>
  <c r="AM47" i="6"/>
  <c r="AP47" i="6"/>
  <c r="AU48" i="6"/>
  <c r="AW47" i="6"/>
  <c r="AZ47" i="6"/>
  <c r="L70" i="17"/>
  <c r="V70" i="17"/>
  <c r="K70" i="17"/>
  <c r="U70" i="17"/>
  <c r="W68" i="17"/>
  <c r="R68" i="17"/>
  <c r="M68" i="17"/>
  <c r="T69" i="17"/>
  <c r="S69" i="17"/>
  <c r="J69" i="17"/>
  <c r="I69" i="17"/>
  <c r="H68" i="17"/>
  <c r="D70" i="17"/>
  <c r="E70" i="17"/>
  <c r="N70" i="17"/>
  <c r="O70" i="17"/>
  <c r="DE69" i="17"/>
  <c r="X70" i="17"/>
  <c r="Y70" i="17" s="1"/>
  <c r="CI70" i="17"/>
  <c r="CJ70" i="17" s="1"/>
  <c r="DB68" i="17"/>
  <c r="DX68" i="17"/>
  <c r="DF68" i="17"/>
  <c r="DD67" i="17"/>
  <c r="AK48" i="6"/>
  <c r="AC47" i="6"/>
  <c r="AF47" i="6"/>
  <c r="Q47" i="6"/>
  <c r="S48" i="6"/>
  <c r="AC48" i="6"/>
  <c r="V47" i="6"/>
  <c r="AV48" i="6"/>
  <c r="BE47" i="6"/>
  <c r="AL48" i="6"/>
  <c r="G47" i="6"/>
  <c r="AB48" i="6"/>
  <c r="R48" i="6"/>
  <c r="BA49" i="6"/>
  <c r="BB49" i="6" s="1"/>
  <c r="W49" i="6"/>
  <c r="X49" i="6" s="1"/>
  <c r="AG49" i="6"/>
  <c r="AH49" i="6" s="1"/>
  <c r="AQ49" i="6"/>
  <c r="AR49" i="6" s="1"/>
  <c r="A50" i="6"/>
  <c r="M49" i="6"/>
  <c r="N49" i="6"/>
  <c r="C49" i="6"/>
  <c r="D49" i="6"/>
  <c r="B67" i="6"/>
  <c r="BI66" i="6"/>
  <c r="BH66" i="6"/>
  <c r="BF48" i="6"/>
  <c r="BG48" i="6"/>
  <c r="BJ47" i="6"/>
  <c r="E79" i="10"/>
  <c r="F79" i="10"/>
  <c r="AS67" i="17"/>
  <c r="BN67" i="17"/>
  <c r="AU68" i="17"/>
  <c r="CH68" i="17"/>
  <c r="AQ69" i="17"/>
  <c r="AT69" i="17"/>
  <c r="BP69" i="17"/>
  <c r="BU69" i="17"/>
  <c r="BT69" i="17"/>
  <c r="CD69" i="17"/>
  <c r="BZ69" i="17"/>
  <c r="CE69" i="17"/>
  <c r="BX68" i="17"/>
  <c r="B71" i="17"/>
  <c r="BY70" i="17"/>
  <c r="BO70" i="17"/>
  <c r="BS68" i="17"/>
  <c r="CG70" i="17"/>
  <c r="BW70" i="17"/>
  <c r="CF70" i="17"/>
  <c r="C71" i="17"/>
  <c r="BV70" i="17"/>
  <c r="CC68" i="17"/>
  <c r="AX49" i="6"/>
  <c r="AN49" i="6"/>
  <c r="AO49" i="6"/>
  <c r="AY49" i="6"/>
  <c r="AE49" i="6"/>
  <c r="J49" i="6"/>
  <c r="U49" i="6"/>
  <c r="K49" i="6"/>
  <c r="AD49" i="6"/>
  <c r="T49" i="6"/>
  <c r="DY68" i="17"/>
  <c r="AW49" i="6"/>
  <c r="AW48" i="6"/>
  <c r="AZ48" i="6"/>
  <c r="T70" i="17"/>
  <c r="S70" i="17"/>
  <c r="J70" i="17"/>
  <c r="I70" i="17"/>
  <c r="L71" i="17"/>
  <c r="V71" i="17"/>
  <c r="K71" i="17"/>
  <c r="U71" i="17"/>
  <c r="R69" i="17"/>
  <c r="M69" i="17"/>
  <c r="H69" i="17"/>
  <c r="D71" i="17"/>
  <c r="E71" i="17"/>
  <c r="N71" i="17"/>
  <c r="O71" i="17"/>
  <c r="W69" i="17"/>
  <c r="DE70" i="17"/>
  <c r="DB69" i="17"/>
  <c r="DX69" i="17"/>
  <c r="DF69" i="17"/>
  <c r="X71" i="17"/>
  <c r="Y71" i="17" s="1"/>
  <c r="CI71" i="17"/>
  <c r="CJ71" i="17" s="1"/>
  <c r="DD68" i="17"/>
  <c r="AK49" i="6"/>
  <c r="AM48" i="6"/>
  <c r="I48" i="6"/>
  <c r="L48" i="6"/>
  <c r="AA48" i="6"/>
  <c r="I49" i="6"/>
  <c r="Q48" i="6"/>
  <c r="Q49" i="6"/>
  <c r="AA49" i="6"/>
  <c r="AL49" i="6"/>
  <c r="AP48" i="6"/>
  <c r="AF48" i="6"/>
  <c r="V48" i="6"/>
  <c r="AV49" i="6"/>
  <c r="AB49" i="6"/>
  <c r="H49" i="6"/>
  <c r="BJ48" i="6"/>
  <c r="BE48" i="6"/>
  <c r="R49" i="6"/>
  <c r="BF49" i="6"/>
  <c r="BG49" i="6"/>
  <c r="B68" i="6"/>
  <c r="BI67" i="6"/>
  <c r="BH67" i="6"/>
  <c r="BA50" i="6"/>
  <c r="BB50" i="6" s="1"/>
  <c r="C50" i="6"/>
  <c r="D50" i="6"/>
  <c r="AQ50" i="6"/>
  <c r="AR50" i="6" s="1"/>
  <c r="W50" i="6"/>
  <c r="X50" i="6" s="1"/>
  <c r="M50" i="6"/>
  <c r="N50" i="6"/>
  <c r="A51" i="6"/>
  <c r="AG50" i="6"/>
  <c r="AH50" i="6" s="1"/>
  <c r="G80" i="10"/>
  <c r="G79" i="10"/>
  <c r="G102" i="10"/>
  <c r="AS68" i="17"/>
  <c r="BM68" i="17"/>
  <c r="BN68" i="17"/>
  <c r="AU69" i="17"/>
  <c r="BM69" i="17"/>
  <c r="CC69" i="17"/>
  <c r="CD70" i="17"/>
  <c r="BZ70" i="17"/>
  <c r="CE70" i="17"/>
  <c r="BX69" i="17"/>
  <c r="BS69" i="17"/>
  <c r="AQ70" i="17"/>
  <c r="AT70" i="17"/>
  <c r="BT70" i="17"/>
  <c r="BP70" i="17"/>
  <c r="BU70" i="17"/>
  <c r="CG71" i="17"/>
  <c r="BW71" i="17"/>
  <c r="BV71" i="17"/>
  <c r="C72" i="17"/>
  <c r="CF71" i="17"/>
  <c r="B72" i="17"/>
  <c r="BY71" i="17"/>
  <c r="BO71" i="17"/>
  <c r="CH69" i="17"/>
  <c r="AY50" i="6"/>
  <c r="AX50" i="6"/>
  <c r="AN50" i="6"/>
  <c r="AO50" i="6"/>
  <c r="U50" i="6"/>
  <c r="K50" i="6"/>
  <c r="T50" i="6"/>
  <c r="AD50" i="6"/>
  <c r="J50" i="6"/>
  <c r="AE50" i="6"/>
  <c r="DY69" i="17"/>
  <c r="W70" i="17"/>
  <c r="M70" i="17"/>
  <c r="AU49" i="6"/>
  <c r="AU50" i="6"/>
  <c r="J71" i="17"/>
  <c r="I71" i="17"/>
  <c r="D72" i="17"/>
  <c r="E72" i="17"/>
  <c r="N72" i="17"/>
  <c r="O72" i="17"/>
  <c r="H70" i="17"/>
  <c r="T71" i="17"/>
  <c r="S71" i="17"/>
  <c r="L72" i="17"/>
  <c r="V72" i="17"/>
  <c r="K72" i="17"/>
  <c r="U72" i="17"/>
  <c r="R70" i="17"/>
  <c r="X72" i="17"/>
  <c r="Y72" i="17" s="1"/>
  <c r="CI72" i="17"/>
  <c r="CJ72" i="17" s="1"/>
  <c r="DE71" i="17"/>
  <c r="DB70" i="17"/>
  <c r="DX70" i="17"/>
  <c r="DF70" i="17"/>
  <c r="DD69" i="17"/>
  <c r="AM49" i="6"/>
  <c r="AK50" i="6"/>
  <c r="G50" i="6"/>
  <c r="AC49" i="6"/>
  <c r="AF49" i="6"/>
  <c r="S49" i="6"/>
  <c r="V49" i="6"/>
  <c r="S50" i="6"/>
  <c r="G49" i="6"/>
  <c r="AC50" i="6"/>
  <c r="AP49" i="6"/>
  <c r="R50" i="6"/>
  <c r="L49" i="6"/>
  <c r="AZ49" i="6"/>
  <c r="AV50" i="6"/>
  <c r="AL50" i="6"/>
  <c r="AB50" i="6"/>
  <c r="H50" i="6"/>
  <c r="BA51" i="6"/>
  <c r="BB51" i="6" s="1"/>
  <c r="A52" i="6"/>
  <c r="M51" i="6"/>
  <c r="N51" i="6"/>
  <c r="C51" i="6"/>
  <c r="D51" i="6"/>
  <c r="AQ51" i="6"/>
  <c r="AR51" i="6" s="1"/>
  <c r="AG51" i="6"/>
  <c r="AH51" i="6" s="1"/>
  <c r="W51" i="6"/>
  <c r="X51" i="6" s="1"/>
  <c r="BF50" i="6"/>
  <c r="BG50" i="6"/>
  <c r="BJ49" i="6"/>
  <c r="BE49" i="6"/>
  <c r="B69" i="6"/>
  <c r="BI68" i="6"/>
  <c r="BH68" i="6"/>
  <c r="G99" i="7"/>
  <c r="J99" i="7"/>
  <c r="G79" i="7"/>
  <c r="J79" i="7"/>
  <c r="K84" i="7"/>
  <c r="G59" i="7"/>
  <c r="J59" i="7"/>
  <c r="K64" i="7"/>
  <c r="W27" i="6"/>
  <c r="X27" i="6" s="1"/>
  <c r="AS69" i="17"/>
  <c r="BN69" i="17"/>
  <c r="AU70" i="17"/>
  <c r="BM70" i="17"/>
  <c r="AU27" i="17"/>
  <c r="BS70" i="17"/>
  <c r="AQ71" i="17"/>
  <c r="AT71" i="17"/>
  <c r="BX70" i="17"/>
  <c r="BT71" i="17"/>
  <c r="BP71" i="17"/>
  <c r="BU71" i="17"/>
  <c r="BW72" i="17"/>
  <c r="BV72" i="17"/>
  <c r="CF72" i="17"/>
  <c r="C73" i="17"/>
  <c r="CG72" i="17"/>
  <c r="BZ71" i="17"/>
  <c r="CE71" i="17"/>
  <c r="CD71" i="17"/>
  <c r="B73" i="17"/>
  <c r="BY72" i="17"/>
  <c r="BO72" i="17"/>
  <c r="CC70" i="17"/>
  <c r="CH70" i="17"/>
  <c r="AY51" i="6"/>
  <c r="AX51" i="6"/>
  <c r="AN51" i="6"/>
  <c r="AO51" i="6"/>
  <c r="J51" i="6"/>
  <c r="AD51" i="6"/>
  <c r="T51" i="6"/>
  <c r="AE51" i="6"/>
  <c r="U51" i="6"/>
  <c r="K51" i="6"/>
  <c r="DY70" i="17"/>
  <c r="AU51" i="6"/>
  <c r="AW50" i="6"/>
  <c r="AZ50" i="6"/>
  <c r="R71" i="17"/>
  <c r="T72" i="17"/>
  <c r="S72" i="17"/>
  <c r="J72" i="17"/>
  <c r="I72" i="17"/>
  <c r="D73" i="17"/>
  <c r="E73" i="17"/>
  <c r="N73" i="17"/>
  <c r="O73" i="17"/>
  <c r="M71" i="17"/>
  <c r="H71" i="17"/>
  <c r="L73" i="17"/>
  <c r="V73" i="17"/>
  <c r="K73" i="17"/>
  <c r="U73" i="17"/>
  <c r="W71" i="17"/>
  <c r="DB71" i="17"/>
  <c r="DF71" i="17"/>
  <c r="DE72" i="17"/>
  <c r="X73" i="17"/>
  <c r="Y73" i="17" s="1"/>
  <c r="CI73" i="17"/>
  <c r="CJ73" i="17" s="1"/>
  <c r="DD70" i="17"/>
  <c r="AM50" i="6"/>
  <c r="AP50" i="6"/>
  <c r="AK51" i="6"/>
  <c r="I50" i="6"/>
  <c r="L50" i="6"/>
  <c r="AA50" i="6"/>
  <c r="Q51" i="6"/>
  <c r="Q50" i="6"/>
  <c r="G51" i="6"/>
  <c r="AC51" i="6"/>
  <c r="M119" i="7"/>
  <c r="K104" i="7"/>
  <c r="AQ27" i="6"/>
  <c r="AR27" i="6" s="1"/>
  <c r="V50" i="6"/>
  <c r="AF50" i="6"/>
  <c r="H51" i="6"/>
  <c r="AV51" i="6"/>
  <c r="R51" i="6"/>
  <c r="AB51" i="6"/>
  <c r="AL51" i="6"/>
  <c r="BE50" i="6"/>
  <c r="BA52" i="6"/>
  <c r="BB52" i="6" s="1"/>
  <c r="M52" i="6"/>
  <c r="N52" i="6"/>
  <c r="C52" i="6"/>
  <c r="D52" i="6"/>
  <c r="W52" i="6"/>
  <c r="X52" i="6" s="1"/>
  <c r="AQ52" i="6"/>
  <c r="AR52" i="6" s="1"/>
  <c r="A53" i="6"/>
  <c r="AG52" i="6"/>
  <c r="AH52" i="6" s="1"/>
  <c r="B70" i="6"/>
  <c r="BI69" i="6"/>
  <c r="BH69" i="6"/>
  <c r="BJ50" i="6"/>
  <c r="BG51" i="6"/>
  <c r="BF51" i="6"/>
  <c r="N17" i="7"/>
  <c r="L99" i="7"/>
  <c r="M99" i="7"/>
  <c r="BN70" i="17"/>
  <c r="AS70" i="17"/>
  <c r="AU71" i="17"/>
  <c r="BM71" i="17"/>
  <c r="BS71" i="17"/>
  <c r="BX71" i="17"/>
  <c r="C74" i="17"/>
  <c r="BW73" i="17"/>
  <c r="BV73" i="17"/>
  <c r="CG73" i="17"/>
  <c r="CF73" i="17"/>
  <c r="B74" i="17"/>
  <c r="BY73" i="17"/>
  <c r="BO73" i="17"/>
  <c r="CD72" i="17"/>
  <c r="BZ72" i="17"/>
  <c r="CE72" i="17"/>
  <c r="BT72" i="17"/>
  <c r="BP72" i="17"/>
  <c r="BU72" i="17"/>
  <c r="AT72" i="17"/>
  <c r="AQ72" i="17"/>
  <c r="CC71" i="17"/>
  <c r="CH71" i="17"/>
  <c r="AY52" i="6"/>
  <c r="AO52" i="6"/>
  <c r="AX52" i="6"/>
  <c r="AN52" i="6"/>
  <c r="AD52" i="6"/>
  <c r="U52" i="6"/>
  <c r="T52" i="6"/>
  <c r="AE52" i="6"/>
  <c r="J52" i="6"/>
  <c r="K52" i="6"/>
  <c r="AW51" i="6"/>
  <c r="M72" i="17"/>
  <c r="H72" i="17"/>
  <c r="W72" i="17"/>
  <c r="AU52" i="6"/>
  <c r="T73" i="17"/>
  <c r="S73" i="17"/>
  <c r="J73" i="17"/>
  <c r="I73" i="17"/>
  <c r="D74" i="17"/>
  <c r="E74" i="17"/>
  <c r="N74" i="17"/>
  <c r="O74" i="17"/>
  <c r="R72" i="17"/>
  <c r="L74" i="17"/>
  <c r="V74" i="17"/>
  <c r="K74" i="17"/>
  <c r="U74" i="17"/>
  <c r="DE73" i="17"/>
  <c r="DB72" i="17"/>
  <c r="DF72" i="17"/>
  <c r="X74" i="17"/>
  <c r="Y74" i="17" s="1"/>
  <c r="CI74" i="17"/>
  <c r="CJ74" i="17" s="1"/>
  <c r="DX71" i="17"/>
  <c r="DY71" i="17"/>
  <c r="DD71" i="17"/>
  <c r="AK52" i="6"/>
  <c r="AM51" i="6"/>
  <c r="AP51" i="6"/>
  <c r="I51" i="6"/>
  <c r="L51" i="6"/>
  <c r="AA51" i="6"/>
  <c r="AC52" i="6"/>
  <c r="G52" i="6"/>
  <c r="S52" i="6"/>
  <c r="S51" i="6"/>
  <c r="V51" i="6"/>
  <c r="AZ51" i="6"/>
  <c r="H52" i="6"/>
  <c r="AB52" i="6"/>
  <c r="AF51" i="6"/>
  <c r="N64" i="7"/>
  <c r="O64" i="7"/>
  <c r="AL52" i="6"/>
  <c r="R52" i="6"/>
  <c r="AV52" i="6"/>
  <c r="BJ51" i="6"/>
  <c r="BA53" i="6"/>
  <c r="BB53" i="6" s="1"/>
  <c r="AG53" i="6"/>
  <c r="AH53" i="6" s="1"/>
  <c r="AQ53" i="6"/>
  <c r="AR53" i="6" s="1"/>
  <c r="A54" i="6"/>
  <c r="M53" i="6"/>
  <c r="N53" i="6"/>
  <c r="C53" i="6"/>
  <c r="D53" i="6"/>
  <c r="W53" i="6"/>
  <c r="X53" i="6" s="1"/>
  <c r="BE51" i="6"/>
  <c r="BF52" i="6"/>
  <c r="BG52" i="6"/>
  <c r="B71" i="6"/>
  <c r="BI70" i="6"/>
  <c r="BH70" i="6"/>
  <c r="AG27" i="6"/>
  <c r="AH27" i="6" s="1"/>
  <c r="BO27" i="17"/>
  <c r="BY27" i="17"/>
  <c r="AS71" i="17"/>
  <c r="BN71" i="17"/>
  <c r="AU72" i="17"/>
  <c r="BM72" i="17"/>
  <c r="BZ73" i="17"/>
  <c r="CE73" i="17"/>
  <c r="CD73" i="17"/>
  <c r="CH72" i="17"/>
  <c r="B75" i="17"/>
  <c r="BY74" i="17"/>
  <c r="BO74" i="17"/>
  <c r="CC72" i="17"/>
  <c r="CG74" i="17"/>
  <c r="BW74" i="17"/>
  <c r="C75" i="17"/>
  <c r="BV74" i="17"/>
  <c r="CF74" i="17"/>
  <c r="BX72" i="17"/>
  <c r="AT73" i="17"/>
  <c r="AQ73" i="17"/>
  <c r="BS72" i="17"/>
  <c r="BT73" i="17"/>
  <c r="BP73" i="17"/>
  <c r="BU73" i="17"/>
  <c r="AX53" i="6"/>
  <c r="AY53" i="6"/>
  <c r="AO53" i="6"/>
  <c r="AN53" i="6"/>
  <c r="U53" i="6"/>
  <c r="K53" i="6"/>
  <c r="AE53" i="6"/>
  <c r="J53" i="6"/>
  <c r="AD53" i="6"/>
  <c r="T53" i="6"/>
  <c r="AW52" i="6"/>
  <c r="AZ52" i="6"/>
  <c r="AU53" i="6"/>
  <c r="J74" i="17"/>
  <c r="I74" i="17"/>
  <c r="M73" i="17"/>
  <c r="H73" i="17"/>
  <c r="W73" i="17"/>
  <c r="D75" i="17"/>
  <c r="E75" i="17"/>
  <c r="N75" i="17"/>
  <c r="O75" i="17"/>
  <c r="R73" i="17"/>
  <c r="L75" i="17"/>
  <c r="V75" i="17"/>
  <c r="K75" i="17"/>
  <c r="U75" i="17"/>
  <c r="T74" i="17"/>
  <c r="S74" i="17"/>
  <c r="DB73" i="17"/>
  <c r="DX73" i="17"/>
  <c r="DF73" i="17"/>
  <c r="DE74" i="17"/>
  <c r="DX72" i="17"/>
  <c r="DY72" i="17"/>
  <c r="DD72" i="17"/>
  <c r="X75" i="17"/>
  <c r="Y75" i="17" s="1"/>
  <c r="CI75" i="17"/>
  <c r="CJ75" i="17" s="1"/>
  <c r="AM52" i="6"/>
  <c r="AP52" i="6"/>
  <c r="AK53" i="6"/>
  <c r="G53" i="6"/>
  <c r="Q53" i="6"/>
  <c r="Q52" i="6"/>
  <c r="I52" i="6"/>
  <c r="L52" i="6"/>
  <c r="AB27" i="6"/>
  <c r="AA27" i="6"/>
  <c r="AA52" i="6"/>
  <c r="AA53" i="6"/>
  <c r="AL53" i="6"/>
  <c r="AF52" i="6"/>
  <c r="V52" i="6"/>
  <c r="AV53" i="6"/>
  <c r="P64" i="7"/>
  <c r="BE27" i="6"/>
  <c r="R53" i="6"/>
  <c r="BG27" i="6"/>
  <c r="BJ52" i="6"/>
  <c r="B72" i="6"/>
  <c r="BI71" i="6"/>
  <c r="BH71" i="6"/>
  <c r="BA54" i="6"/>
  <c r="BB54" i="6" s="1"/>
  <c r="A55" i="6"/>
  <c r="M54" i="6"/>
  <c r="N54" i="6"/>
  <c r="AQ54" i="6"/>
  <c r="AR54" i="6" s="1"/>
  <c r="C54" i="6"/>
  <c r="D54" i="6"/>
  <c r="AG54" i="6"/>
  <c r="AH54" i="6" s="1"/>
  <c r="W54" i="6"/>
  <c r="X54" i="6" s="1"/>
  <c r="H53" i="6"/>
  <c r="BE52" i="6"/>
  <c r="BF53" i="6"/>
  <c r="BG53" i="6"/>
  <c r="AB53" i="6"/>
  <c r="H6" i="8"/>
  <c r="C34" i="8"/>
  <c r="BZ27" i="17"/>
  <c r="CE27" i="17"/>
  <c r="CD27" i="17"/>
  <c r="AL27" i="6"/>
  <c r="AK27" i="6"/>
  <c r="AV27" i="6"/>
  <c r="BT27" i="17"/>
  <c r="BP27" i="17"/>
  <c r="AS72" i="17"/>
  <c r="BN72" i="17"/>
  <c r="AU73" i="17"/>
  <c r="BM73" i="17"/>
  <c r="CH73" i="17"/>
  <c r="BS73" i="17"/>
  <c r="CC73" i="17"/>
  <c r="CG75" i="17"/>
  <c r="BW75" i="17"/>
  <c r="C76" i="17"/>
  <c r="BV75" i="17"/>
  <c r="CF75" i="17"/>
  <c r="AT74" i="17"/>
  <c r="AQ74" i="17"/>
  <c r="BT74" i="17"/>
  <c r="BP74" i="17"/>
  <c r="BU74" i="17"/>
  <c r="BY75" i="17"/>
  <c r="BO75" i="17"/>
  <c r="B76" i="17"/>
  <c r="BX73" i="17"/>
  <c r="CD74" i="17"/>
  <c r="BZ74" i="17"/>
  <c r="CE74" i="17"/>
  <c r="AY54" i="6"/>
  <c r="AX54" i="6"/>
  <c r="AO54" i="6"/>
  <c r="AN54" i="6"/>
  <c r="AE54" i="6"/>
  <c r="J54" i="6"/>
  <c r="U54" i="6"/>
  <c r="T54" i="6"/>
  <c r="AD54" i="6"/>
  <c r="K54" i="6"/>
  <c r="BU27" i="17"/>
  <c r="I27" i="26"/>
  <c r="I28" i="26"/>
  <c r="E26" i="6"/>
  <c r="BC26" i="6"/>
  <c r="AS26" i="6"/>
  <c r="AI26" i="6"/>
  <c r="Y26" i="6"/>
  <c r="O26" i="6"/>
  <c r="CN26" i="17"/>
  <c r="C40" i="8"/>
  <c r="C42" i="8"/>
  <c r="AW53" i="6"/>
  <c r="DY73" i="17"/>
  <c r="DD73" i="17"/>
  <c r="I53" i="6"/>
  <c r="L53" i="6"/>
  <c r="AU54" i="6"/>
  <c r="D76" i="17"/>
  <c r="E76" i="17"/>
  <c r="N76" i="17"/>
  <c r="O76" i="17"/>
  <c r="M74" i="17"/>
  <c r="R74" i="17"/>
  <c r="L76" i="17"/>
  <c r="V76" i="17"/>
  <c r="K76" i="17"/>
  <c r="U76" i="17"/>
  <c r="H74" i="17"/>
  <c r="J75" i="17"/>
  <c r="I75" i="17"/>
  <c r="W74" i="17"/>
  <c r="T75" i="17"/>
  <c r="S75" i="17"/>
  <c r="DB74" i="17"/>
  <c r="DX74" i="17"/>
  <c r="DF74" i="17"/>
  <c r="DE75" i="17"/>
  <c r="X76" i="17"/>
  <c r="Y76" i="17" s="1"/>
  <c r="CI76" i="17"/>
  <c r="CJ76" i="17" s="1"/>
  <c r="AM53" i="6"/>
  <c r="AP53" i="6"/>
  <c r="AK54" i="6"/>
  <c r="S53" i="6"/>
  <c r="V53" i="6"/>
  <c r="AA54" i="6"/>
  <c r="G54" i="6"/>
  <c r="AC53" i="6"/>
  <c r="AF53" i="6"/>
  <c r="Q54" i="6"/>
  <c r="BJ27" i="6"/>
  <c r="AL54" i="6"/>
  <c r="AZ53" i="6"/>
  <c r="H54" i="6"/>
  <c r="AB54" i="6"/>
  <c r="B73" i="6"/>
  <c r="BI72" i="6"/>
  <c r="BH72" i="6"/>
  <c r="BJ53" i="6"/>
  <c r="BE53" i="6"/>
  <c r="BA55" i="6"/>
  <c r="BB55" i="6" s="1"/>
  <c r="C55" i="6"/>
  <c r="D55" i="6"/>
  <c r="AQ55" i="6"/>
  <c r="AR55" i="6" s="1"/>
  <c r="AG55" i="6"/>
  <c r="AH55" i="6" s="1"/>
  <c r="W55" i="6"/>
  <c r="X55" i="6" s="1"/>
  <c r="A56" i="6"/>
  <c r="M55" i="6"/>
  <c r="N55" i="6"/>
  <c r="BF54" i="6"/>
  <c r="BG54" i="6"/>
  <c r="R54" i="6"/>
  <c r="AV54" i="6"/>
  <c r="AC27" i="6"/>
  <c r="AF27" i="6"/>
  <c r="AS73" i="17"/>
  <c r="CC27" i="17"/>
  <c r="CH27" i="17"/>
  <c r="BS27" i="17"/>
  <c r="BX27" i="17"/>
  <c r="AU27" i="6"/>
  <c r="AW27" i="6"/>
  <c r="AZ27" i="6"/>
  <c r="AM27" i="6"/>
  <c r="AP27" i="6"/>
  <c r="BN73" i="17"/>
  <c r="AU74" i="17"/>
  <c r="BM74" i="17"/>
  <c r="BO76" i="17"/>
  <c r="B77" i="17"/>
  <c r="BY76" i="17"/>
  <c r="BT75" i="17"/>
  <c r="BP75" i="17"/>
  <c r="BU75" i="17"/>
  <c r="C77" i="17"/>
  <c r="CF76" i="17"/>
  <c r="BW76" i="17"/>
  <c r="BV76" i="17"/>
  <c r="CG76" i="17"/>
  <c r="CD75" i="17"/>
  <c r="BZ75" i="17"/>
  <c r="CE75" i="17"/>
  <c r="BX74" i="17"/>
  <c r="CH74" i="17"/>
  <c r="BS74" i="17"/>
  <c r="CC74" i="17"/>
  <c r="AT75" i="17"/>
  <c r="AQ75" i="17"/>
  <c r="AY55" i="6"/>
  <c r="AN55" i="6"/>
  <c r="AX55" i="6"/>
  <c r="AO55" i="6"/>
  <c r="AD55" i="6"/>
  <c r="J55" i="6"/>
  <c r="AE55" i="6"/>
  <c r="T55" i="6"/>
  <c r="U55" i="6"/>
  <c r="K55" i="6"/>
  <c r="AE28" i="26"/>
  <c r="AE27" i="26"/>
  <c r="I23" i="26"/>
  <c r="AS22" i="6"/>
  <c r="AX26" i="6"/>
  <c r="AZ26" i="6"/>
  <c r="AU26" i="6"/>
  <c r="AC26" i="17"/>
  <c r="CN22" i="17"/>
  <c r="DJ26" i="17"/>
  <c r="DD26" i="17"/>
  <c r="Y22" i="6"/>
  <c r="AD26" i="6"/>
  <c r="AF26" i="6"/>
  <c r="AA26" i="6"/>
  <c r="BC22" i="6"/>
  <c r="BH26" i="6"/>
  <c r="BJ26" i="6"/>
  <c r="BE26" i="6"/>
  <c r="O22" i="6"/>
  <c r="T26" i="6"/>
  <c r="V26" i="6"/>
  <c r="Q26" i="6"/>
  <c r="AI22" i="6"/>
  <c r="AN26" i="6"/>
  <c r="AP26" i="6"/>
  <c r="AK26" i="6"/>
  <c r="C43" i="8"/>
  <c r="V29" i="26"/>
  <c r="E22" i="6"/>
  <c r="J26" i="6"/>
  <c r="L26" i="6"/>
  <c r="G26" i="6"/>
  <c r="DY74" i="17"/>
  <c r="AM54" i="6"/>
  <c r="AP54" i="6"/>
  <c r="AW54" i="6"/>
  <c r="AZ54" i="6"/>
  <c r="R75" i="17"/>
  <c r="M75" i="17"/>
  <c r="H75" i="17"/>
  <c r="L77" i="17"/>
  <c r="V77" i="17"/>
  <c r="K77" i="17"/>
  <c r="U77" i="17"/>
  <c r="T76" i="17"/>
  <c r="S76" i="17"/>
  <c r="D77" i="17"/>
  <c r="E77" i="17"/>
  <c r="N77" i="17"/>
  <c r="O77" i="17"/>
  <c r="W75" i="17"/>
  <c r="J76" i="17"/>
  <c r="I76" i="17"/>
  <c r="DD74" i="17"/>
  <c r="DE76" i="17"/>
  <c r="X77" i="17"/>
  <c r="Y77" i="17" s="1"/>
  <c r="CI77" i="17"/>
  <c r="CJ77" i="17" s="1"/>
  <c r="DB75" i="17"/>
  <c r="DX75" i="17"/>
  <c r="DF75" i="17"/>
  <c r="AK55" i="6"/>
  <c r="I54" i="6"/>
  <c r="L54" i="6"/>
  <c r="AA55" i="6"/>
  <c r="S54" i="6"/>
  <c r="V54" i="6"/>
  <c r="S55" i="6"/>
  <c r="I55" i="6"/>
  <c r="AC54" i="6"/>
  <c r="AF54" i="6"/>
  <c r="AL55" i="6"/>
  <c r="R55" i="6"/>
  <c r="H55" i="6"/>
  <c r="AU55" i="6"/>
  <c r="BJ54" i="6"/>
  <c r="BE54" i="6"/>
  <c r="BF55" i="6"/>
  <c r="BG55" i="6"/>
  <c r="AB55" i="6"/>
  <c r="AV55" i="6"/>
  <c r="BA56" i="6"/>
  <c r="BB56" i="6" s="1"/>
  <c r="A57" i="6"/>
  <c r="M56" i="6"/>
  <c r="N56" i="6"/>
  <c r="AQ56" i="6"/>
  <c r="AR56" i="6" s="1"/>
  <c r="C56" i="6"/>
  <c r="D56" i="6"/>
  <c r="W56" i="6"/>
  <c r="X56" i="6" s="1"/>
  <c r="AG56" i="6"/>
  <c r="AH56" i="6" s="1"/>
  <c r="B74" i="6"/>
  <c r="BI73" i="6"/>
  <c r="BH73" i="6"/>
  <c r="AS74" i="17"/>
  <c r="BN74" i="17"/>
  <c r="AU75" i="17"/>
  <c r="BM75" i="17"/>
  <c r="CH75" i="17"/>
  <c r="CC75" i="17"/>
  <c r="B78" i="17"/>
  <c r="BY77" i="17"/>
  <c r="BO77" i="17"/>
  <c r="AQ76" i="17"/>
  <c r="AT76" i="17"/>
  <c r="BX75" i="17"/>
  <c r="BZ76" i="17"/>
  <c r="CE76" i="17"/>
  <c r="CD76" i="17"/>
  <c r="BP76" i="17"/>
  <c r="BU76" i="17"/>
  <c r="BT76" i="17"/>
  <c r="BW77" i="17"/>
  <c r="C78" i="17"/>
  <c r="CG77" i="17"/>
  <c r="CF77" i="17"/>
  <c r="BV77" i="17"/>
  <c r="BS75" i="17"/>
  <c r="AY56" i="6"/>
  <c r="AO56" i="6"/>
  <c r="AX56" i="6"/>
  <c r="AN56" i="6"/>
  <c r="K56" i="6"/>
  <c r="AD56" i="6"/>
  <c r="U56" i="6"/>
  <c r="T56" i="6"/>
  <c r="J56" i="6"/>
  <c r="AE56" i="6"/>
  <c r="AR29" i="26"/>
  <c r="AT29" i="26"/>
  <c r="K24" i="8"/>
  <c r="L24" i="8"/>
  <c r="G17" i="27"/>
  <c r="Y29" i="26"/>
  <c r="D38" i="8"/>
  <c r="E38" i="8"/>
  <c r="V28" i="26"/>
  <c r="V27" i="26"/>
  <c r="V26" i="26"/>
  <c r="AE23" i="26"/>
  <c r="DJ22" i="17"/>
  <c r="DY26" i="17"/>
  <c r="AC22" i="17"/>
  <c r="AY26" i="17"/>
  <c r="AS26" i="17"/>
  <c r="DA27" i="17"/>
  <c r="DY75" i="17"/>
  <c r="AU56" i="6"/>
  <c r="L78" i="17"/>
  <c r="V78" i="17"/>
  <c r="K78" i="17"/>
  <c r="U78" i="17"/>
  <c r="T77" i="17"/>
  <c r="S77" i="17"/>
  <c r="J77" i="17"/>
  <c r="I77" i="17"/>
  <c r="W76" i="17"/>
  <c r="D78" i="17"/>
  <c r="E78" i="17"/>
  <c r="N78" i="17"/>
  <c r="O78" i="17"/>
  <c r="R76" i="17"/>
  <c r="H76" i="17"/>
  <c r="M76" i="17"/>
  <c r="DE77" i="17"/>
  <c r="DB76" i="17"/>
  <c r="DX76" i="17"/>
  <c r="DF76" i="17"/>
  <c r="X78" i="17"/>
  <c r="Y78" i="17" s="1"/>
  <c r="CI78" i="17"/>
  <c r="CJ78" i="17" s="1"/>
  <c r="DD75" i="17"/>
  <c r="AK56" i="6"/>
  <c r="AM55" i="6"/>
  <c r="AP55" i="6"/>
  <c r="AC55" i="6"/>
  <c r="AF55" i="6"/>
  <c r="Q56" i="6"/>
  <c r="G55" i="6"/>
  <c r="Q55" i="6"/>
  <c r="G56" i="6"/>
  <c r="AA56" i="6"/>
  <c r="V55" i="6"/>
  <c r="L55" i="6"/>
  <c r="R56" i="6"/>
  <c r="AV56" i="6"/>
  <c r="AW55" i="6"/>
  <c r="AZ55" i="6"/>
  <c r="AL56" i="6"/>
  <c r="AB56" i="6"/>
  <c r="AW56" i="6"/>
  <c r="BJ55" i="6"/>
  <c r="BA57" i="6"/>
  <c r="BB57" i="6" s="1"/>
  <c r="M57" i="6"/>
  <c r="N57" i="6"/>
  <c r="W57" i="6"/>
  <c r="X57" i="6" s="1"/>
  <c r="AG57" i="6"/>
  <c r="AH57" i="6" s="1"/>
  <c r="C57" i="6"/>
  <c r="D57" i="6"/>
  <c r="AQ57" i="6"/>
  <c r="AR57" i="6" s="1"/>
  <c r="A58" i="6"/>
  <c r="BE55" i="6"/>
  <c r="B75" i="6"/>
  <c r="BI74" i="6"/>
  <c r="BH74" i="6"/>
  <c r="BF56" i="6"/>
  <c r="BG56" i="6"/>
  <c r="H56" i="6"/>
  <c r="BN75" i="17"/>
  <c r="AS75" i="17"/>
  <c r="AU76" i="17"/>
  <c r="BM76" i="17"/>
  <c r="BX76" i="17"/>
  <c r="CH76" i="17"/>
  <c r="CC76" i="17"/>
  <c r="BZ77" i="17"/>
  <c r="CE77" i="17"/>
  <c r="CD77" i="17"/>
  <c r="CG78" i="17"/>
  <c r="BW78" i="17"/>
  <c r="CF78" i="17"/>
  <c r="BV78" i="17"/>
  <c r="C79" i="17"/>
  <c r="BS76" i="17"/>
  <c r="AT77" i="17"/>
  <c r="AQ77" i="17"/>
  <c r="BP77" i="17"/>
  <c r="BU77" i="17"/>
  <c r="BT77" i="17"/>
  <c r="B79" i="17"/>
  <c r="BY78" i="17"/>
  <c r="BO78" i="17"/>
  <c r="AX57" i="6"/>
  <c r="AO57" i="6"/>
  <c r="AN57" i="6"/>
  <c r="AY57" i="6"/>
  <c r="AD57" i="6"/>
  <c r="T57" i="6"/>
  <c r="AE57" i="6"/>
  <c r="K57" i="6"/>
  <c r="J57" i="6"/>
  <c r="U57" i="6"/>
  <c r="AK6" i="26"/>
  <c r="AR28" i="26"/>
  <c r="AT28" i="26"/>
  <c r="G24" i="8"/>
  <c r="H24" i="8"/>
  <c r="F17" i="27"/>
  <c r="Y28" i="26"/>
  <c r="DP6" i="17"/>
  <c r="D17" i="27"/>
  <c r="AR26" i="26"/>
  <c r="V23" i="26"/>
  <c r="E17" i="27"/>
  <c r="AR27" i="26"/>
  <c r="AT27" i="26"/>
  <c r="C24" i="8"/>
  <c r="D24" i="8"/>
  <c r="D25" i="8"/>
  <c r="Y27" i="26"/>
  <c r="E16" i="27"/>
  <c r="L25" i="8"/>
  <c r="G16" i="27"/>
  <c r="AY22" i="17"/>
  <c r="BN26" i="17"/>
  <c r="DW27" i="17"/>
  <c r="AP27" i="17"/>
  <c r="DA22" i="17"/>
  <c r="DD27" i="17"/>
  <c r="DY76" i="17"/>
  <c r="W77" i="17"/>
  <c r="AU57" i="6"/>
  <c r="T78" i="17"/>
  <c r="S78" i="17"/>
  <c r="R77" i="17"/>
  <c r="D79" i="17"/>
  <c r="E79" i="17"/>
  <c r="N79" i="17"/>
  <c r="O79" i="17"/>
  <c r="J78" i="17"/>
  <c r="I78" i="17"/>
  <c r="M77" i="17"/>
  <c r="L79" i="17"/>
  <c r="V79" i="17"/>
  <c r="K79" i="17"/>
  <c r="U79" i="17"/>
  <c r="H77" i="17"/>
  <c r="DE78" i="17"/>
  <c r="X79" i="17"/>
  <c r="Y79" i="17" s="1"/>
  <c r="CI79" i="17"/>
  <c r="CJ79" i="17" s="1"/>
  <c r="DB77" i="17"/>
  <c r="DX77" i="17"/>
  <c r="DF77" i="17"/>
  <c r="DD76" i="17"/>
  <c r="AK57" i="6"/>
  <c r="AM56" i="6"/>
  <c r="AP56" i="6"/>
  <c r="S56" i="6"/>
  <c r="V56" i="6"/>
  <c r="AC56" i="6"/>
  <c r="AF56" i="6"/>
  <c r="I56" i="6"/>
  <c r="L56" i="6"/>
  <c r="I57" i="6"/>
  <c r="AC57" i="6"/>
  <c r="S57" i="6"/>
  <c r="AV57" i="6"/>
  <c r="AB57" i="6"/>
  <c r="R57" i="6"/>
  <c r="AZ56" i="6"/>
  <c r="H57" i="6"/>
  <c r="B76" i="6"/>
  <c r="BI75" i="6"/>
  <c r="BH75" i="6"/>
  <c r="BF57" i="6"/>
  <c r="BG57" i="6"/>
  <c r="BA58" i="6"/>
  <c r="BB58" i="6" s="1"/>
  <c r="W58" i="6"/>
  <c r="X58" i="6" s="1"/>
  <c r="A59" i="6"/>
  <c r="M58" i="6"/>
  <c r="N58" i="6"/>
  <c r="C58" i="6"/>
  <c r="D58" i="6"/>
  <c r="AG58" i="6"/>
  <c r="AH58" i="6" s="1"/>
  <c r="AQ58" i="6"/>
  <c r="AR58" i="6" s="1"/>
  <c r="BE56" i="6"/>
  <c r="AL57" i="6"/>
  <c r="BJ56" i="6"/>
  <c r="AS76" i="17"/>
  <c r="BN76" i="17"/>
  <c r="AU77" i="17"/>
  <c r="BX77" i="17"/>
  <c r="CH77" i="17"/>
  <c r="BO79" i="17"/>
  <c r="B80" i="17"/>
  <c r="BY79" i="17"/>
  <c r="CG79" i="17"/>
  <c r="BW79" i="17"/>
  <c r="CF79" i="17"/>
  <c r="C80" i="17"/>
  <c r="BV79" i="17"/>
  <c r="BS77" i="17"/>
  <c r="AQ78" i="17"/>
  <c r="AT78" i="17"/>
  <c r="CC77" i="17"/>
  <c r="BT78" i="17"/>
  <c r="BP78" i="17"/>
  <c r="BU78" i="17"/>
  <c r="BZ78" i="17"/>
  <c r="CE78" i="17"/>
  <c r="CD78" i="17"/>
  <c r="AY58" i="6"/>
  <c r="AX58" i="6"/>
  <c r="AN58" i="6"/>
  <c r="AO58" i="6"/>
  <c r="AE58" i="6"/>
  <c r="K58" i="6"/>
  <c r="U58" i="6"/>
  <c r="T58" i="6"/>
  <c r="AD58" i="6"/>
  <c r="J58" i="6"/>
  <c r="G18" i="27"/>
  <c r="G20" i="27"/>
  <c r="G25" i="27"/>
  <c r="E18" i="27"/>
  <c r="E20" i="27"/>
  <c r="E25" i="27"/>
  <c r="H25" i="8"/>
  <c r="C28" i="8"/>
  <c r="C27" i="8"/>
  <c r="AR23" i="26"/>
  <c r="C17" i="27"/>
  <c r="H17" i="27"/>
  <c r="DW22" i="17"/>
  <c r="DY27" i="17"/>
  <c r="DY77" i="17"/>
  <c r="AW57" i="6"/>
  <c r="AZ57" i="6"/>
  <c r="L80" i="17"/>
  <c r="V80" i="17"/>
  <c r="K80" i="17"/>
  <c r="U80" i="17"/>
  <c r="M78" i="17"/>
  <c r="T79" i="17"/>
  <c r="S79" i="17"/>
  <c r="H78" i="17"/>
  <c r="J79" i="17"/>
  <c r="I79" i="17"/>
  <c r="D80" i="17"/>
  <c r="E80" i="17"/>
  <c r="N80" i="17"/>
  <c r="O80" i="17"/>
  <c r="W78" i="17"/>
  <c r="R78" i="17"/>
  <c r="DE79" i="17"/>
  <c r="DB78" i="17"/>
  <c r="DX78" i="17"/>
  <c r="DF78" i="17"/>
  <c r="X80" i="17"/>
  <c r="Y80" i="17" s="1"/>
  <c r="CI80" i="17"/>
  <c r="CJ80" i="17" s="1"/>
  <c r="DD77" i="17"/>
  <c r="AM57" i="6"/>
  <c r="AP57" i="6"/>
  <c r="Q58" i="6"/>
  <c r="Q57" i="6"/>
  <c r="I58" i="6"/>
  <c r="AC58" i="6"/>
  <c r="AA57" i="6"/>
  <c r="G57" i="6"/>
  <c r="L57" i="6"/>
  <c r="AF57" i="6"/>
  <c r="V57" i="6"/>
  <c r="AB58" i="6"/>
  <c r="H58" i="6"/>
  <c r="AU58" i="6"/>
  <c r="R58" i="6"/>
  <c r="AV58" i="6"/>
  <c r="B77" i="6"/>
  <c r="BI76" i="6"/>
  <c r="BH76" i="6"/>
  <c r="BF58" i="6"/>
  <c r="BG58" i="6"/>
  <c r="BJ57" i="6"/>
  <c r="AM58" i="6"/>
  <c r="AL58" i="6"/>
  <c r="BA59" i="6"/>
  <c r="BB59" i="6" s="1"/>
  <c r="AQ59" i="6"/>
  <c r="AR59" i="6" s="1"/>
  <c r="AG59" i="6"/>
  <c r="AH59" i="6" s="1"/>
  <c r="W59" i="6"/>
  <c r="X59" i="6" s="1"/>
  <c r="A60" i="6"/>
  <c r="M59" i="6"/>
  <c r="N59" i="6"/>
  <c r="C59" i="6"/>
  <c r="D59" i="6"/>
  <c r="BE57" i="6"/>
  <c r="AS77" i="17"/>
  <c r="BM77" i="17"/>
  <c r="BN77" i="17"/>
  <c r="AU78" i="17"/>
  <c r="BM78" i="17"/>
  <c r="CH78" i="17"/>
  <c r="CC78" i="17"/>
  <c r="C81" i="17"/>
  <c r="CG80" i="17"/>
  <c r="BV80" i="17"/>
  <c r="CF80" i="17"/>
  <c r="BW80" i="17"/>
  <c r="BY80" i="17"/>
  <c r="BO80" i="17"/>
  <c r="B81" i="17"/>
  <c r="BT79" i="17"/>
  <c r="BP79" i="17"/>
  <c r="BU79" i="17"/>
  <c r="CD79" i="17"/>
  <c r="BZ79" i="17"/>
  <c r="CE79" i="17"/>
  <c r="BS78" i="17"/>
  <c r="AT79" i="17"/>
  <c r="AQ79" i="17"/>
  <c r="BX78" i="17"/>
  <c r="AY59" i="6"/>
  <c r="AX59" i="6"/>
  <c r="AN59" i="6"/>
  <c r="AO59" i="6"/>
  <c r="U59" i="6"/>
  <c r="T59" i="6"/>
  <c r="J59" i="6"/>
  <c r="AD59" i="6"/>
  <c r="K59" i="6"/>
  <c r="AE59" i="6"/>
  <c r="F16" i="27"/>
  <c r="DY78" i="17"/>
  <c r="M79" i="17"/>
  <c r="H79" i="17"/>
  <c r="R79" i="17"/>
  <c r="W79" i="17"/>
  <c r="AU59" i="6"/>
  <c r="L81" i="17"/>
  <c r="V81" i="17"/>
  <c r="K81" i="17"/>
  <c r="U81" i="17"/>
  <c r="J80" i="17"/>
  <c r="I80" i="17"/>
  <c r="T80" i="17"/>
  <c r="S80" i="17"/>
  <c r="D81" i="17"/>
  <c r="E81" i="17"/>
  <c r="N81" i="17"/>
  <c r="O81" i="17"/>
  <c r="X81" i="17"/>
  <c r="Y81" i="17" s="1"/>
  <c r="CI81" i="17"/>
  <c r="CJ81" i="17" s="1"/>
  <c r="DE80" i="17"/>
  <c r="DB79" i="17"/>
  <c r="DX79" i="17"/>
  <c r="DF79" i="17"/>
  <c r="DD78" i="17"/>
  <c r="AK59" i="6"/>
  <c r="AA58" i="6"/>
  <c r="G59" i="6"/>
  <c r="G58" i="6"/>
  <c r="S59" i="6"/>
  <c r="S58" i="6"/>
  <c r="V58" i="6"/>
  <c r="AV59" i="6"/>
  <c r="AF58" i="6"/>
  <c r="L58" i="6"/>
  <c r="H59" i="6"/>
  <c r="AW58" i="6"/>
  <c r="AZ58" i="6"/>
  <c r="AP58" i="6"/>
  <c r="BJ58" i="6"/>
  <c r="AC59" i="6"/>
  <c r="BE58" i="6"/>
  <c r="AB59" i="6"/>
  <c r="AL59" i="6"/>
  <c r="BF59" i="6"/>
  <c r="BG59" i="6"/>
  <c r="BA60" i="6"/>
  <c r="BB60" i="6" s="1"/>
  <c r="A61" i="6"/>
  <c r="M60" i="6"/>
  <c r="N60" i="6"/>
  <c r="AG60" i="6"/>
  <c r="AH60" i="6" s="1"/>
  <c r="AQ60" i="6"/>
  <c r="AR60" i="6" s="1"/>
  <c r="C60" i="6"/>
  <c r="D60" i="6"/>
  <c r="W60" i="6"/>
  <c r="X60" i="6" s="1"/>
  <c r="R59" i="6"/>
  <c r="AK58" i="6"/>
  <c r="B78" i="6"/>
  <c r="BI77" i="6"/>
  <c r="BH77" i="6"/>
  <c r="BN78" i="17"/>
  <c r="AS78" i="17"/>
  <c r="AU79" i="17"/>
  <c r="BM79" i="17"/>
  <c r="CC79" i="17"/>
  <c r="BS79" i="17"/>
  <c r="BZ80" i="17"/>
  <c r="CE80" i="17"/>
  <c r="CD80" i="17"/>
  <c r="BX79" i="17"/>
  <c r="AQ80" i="17"/>
  <c r="AT80" i="17"/>
  <c r="B82" i="17"/>
  <c r="BY81" i="17"/>
  <c r="BO81" i="17"/>
  <c r="CH79" i="17"/>
  <c r="BP80" i="17"/>
  <c r="BU80" i="17"/>
  <c r="BT80" i="17"/>
  <c r="C82" i="17"/>
  <c r="BW81" i="17"/>
  <c r="BV81" i="17"/>
  <c r="CG81" i="17"/>
  <c r="CF81" i="17"/>
  <c r="AO60" i="6"/>
  <c r="AN60" i="6"/>
  <c r="AY60" i="6"/>
  <c r="AX60" i="6"/>
  <c r="J60" i="6"/>
  <c r="AD60" i="6"/>
  <c r="K60" i="6"/>
  <c r="U60" i="6"/>
  <c r="T60" i="6"/>
  <c r="AE60" i="6"/>
  <c r="F18" i="27"/>
  <c r="F20" i="27"/>
  <c r="F25" i="27"/>
  <c r="AW59" i="6"/>
  <c r="AZ59" i="6"/>
  <c r="DY79" i="17"/>
  <c r="M80" i="17"/>
  <c r="AM59" i="6"/>
  <c r="AP59" i="6"/>
  <c r="AU60" i="6"/>
  <c r="H80" i="17"/>
  <c r="T81" i="17"/>
  <c r="S81" i="17"/>
  <c r="W80" i="17"/>
  <c r="L82" i="17"/>
  <c r="V82" i="17"/>
  <c r="K82" i="17"/>
  <c r="U82" i="17"/>
  <c r="J81" i="17"/>
  <c r="I81" i="17"/>
  <c r="D82" i="17"/>
  <c r="E82" i="17"/>
  <c r="N82" i="17"/>
  <c r="O82" i="17"/>
  <c r="R80" i="17"/>
  <c r="X82" i="17"/>
  <c r="Y82" i="17" s="1"/>
  <c r="CI82" i="17"/>
  <c r="CJ82" i="17" s="1"/>
  <c r="DB80" i="17"/>
  <c r="DX80" i="17"/>
  <c r="DF80" i="17"/>
  <c r="DE81" i="17"/>
  <c r="DD79" i="17"/>
  <c r="AK60" i="6"/>
  <c r="I59" i="6"/>
  <c r="L59" i="6"/>
  <c r="AA60" i="6"/>
  <c r="Q59" i="6"/>
  <c r="S60" i="6"/>
  <c r="I60" i="6"/>
  <c r="V59" i="6"/>
  <c r="AF59" i="6"/>
  <c r="R60" i="6"/>
  <c r="AL60" i="6"/>
  <c r="AV60" i="6"/>
  <c r="H60" i="6"/>
  <c r="BE59" i="6"/>
  <c r="B79" i="6"/>
  <c r="BI78" i="6"/>
  <c r="BH78" i="6"/>
  <c r="BG60" i="6"/>
  <c r="BF60" i="6"/>
  <c r="BA61" i="6"/>
  <c r="BB61" i="6" s="1"/>
  <c r="AG61" i="6"/>
  <c r="AH61" i="6" s="1"/>
  <c r="C61" i="6"/>
  <c r="D61" i="6"/>
  <c r="AQ61" i="6"/>
  <c r="AR61" i="6" s="1"/>
  <c r="A62" i="6"/>
  <c r="M61" i="6"/>
  <c r="N61" i="6"/>
  <c r="W61" i="6"/>
  <c r="X61" i="6" s="1"/>
  <c r="AB60" i="6"/>
  <c r="AA59" i="6"/>
  <c r="BJ59" i="6"/>
  <c r="BN79" i="17"/>
  <c r="AS79" i="17"/>
  <c r="AU80" i="17"/>
  <c r="BM80" i="17"/>
  <c r="BX80" i="17"/>
  <c r="CH80" i="17"/>
  <c r="CG82" i="17"/>
  <c r="BW82" i="17"/>
  <c r="C83" i="17"/>
  <c r="BV82" i="17"/>
  <c r="CF82" i="17"/>
  <c r="CD81" i="17"/>
  <c r="BZ81" i="17"/>
  <c r="CE81" i="17"/>
  <c r="AT81" i="17"/>
  <c r="AQ81" i="17"/>
  <c r="BP81" i="17"/>
  <c r="BU81" i="17"/>
  <c r="BT81" i="17"/>
  <c r="B83" i="17"/>
  <c r="BY82" i="17"/>
  <c r="BO82" i="17"/>
  <c r="BS80" i="17"/>
  <c r="CC80" i="17"/>
  <c r="AX61" i="6"/>
  <c r="AY61" i="6"/>
  <c r="AO61" i="6"/>
  <c r="AN61" i="6"/>
  <c r="AD61" i="6"/>
  <c r="U61" i="6"/>
  <c r="K61" i="6"/>
  <c r="AE61" i="6"/>
  <c r="T61" i="6"/>
  <c r="J61" i="6"/>
  <c r="DY80" i="17"/>
  <c r="AW60" i="6"/>
  <c r="AZ60" i="6"/>
  <c r="M81" i="17"/>
  <c r="AM60" i="6"/>
  <c r="AP60" i="6"/>
  <c r="AU61" i="6"/>
  <c r="L83" i="17"/>
  <c r="V83" i="17"/>
  <c r="K83" i="17"/>
  <c r="U83" i="17"/>
  <c r="H81" i="17"/>
  <c r="W81" i="17"/>
  <c r="T82" i="17"/>
  <c r="S82" i="17"/>
  <c r="R81" i="17"/>
  <c r="J82" i="17"/>
  <c r="I82" i="17"/>
  <c r="D83" i="17"/>
  <c r="E83" i="17"/>
  <c r="N83" i="17"/>
  <c r="O83" i="17"/>
  <c r="DB81" i="17"/>
  <c r="DX81" i="17"/>
  <c r="DF81" i="17"/>
  <c r="X83" i="17"/>
  <c r="Y83" i="17" s="1"/>
  <c r="CI83" i="17"/>
  <c r="CJ83" i="17" s="1"/>
  <c r="DE82" i="17"/>
  <c r="DD80" i="17"/>
  <c r="AK61" i="6"/>
  <c r="AC60" i="6"/>
  <c r="AF60" i="6"/>
  <c r="Q61" i="6"/>
  <c r="G60" i="6"/>
  <c r="I61" i="6"/>
  <c r="Q60" i="6"/>
  <c r="AA61" i="6"/>
  <c r="V60" i="6"/>
  <c r="L60" i="6"/>
  <c r="AB61" i="6"/>
  <c r="H61" i="6"/>
  <c r="AV61" i="6"/>
  <c r="BE60" i="6"/>
  <c r="BA62" i="6"/>
  <c r="BB62" i="6" s="1"/>
  <c r="M62" i="6"/>
  <c r="N62" i="6"/>
  <c r="C62" i="6"/>
  <c r="D62" i="6"/>
  <c r="AG62" i="6"/>
  <c r="AH62" i="6" s="1"/>
  <c r="AQ62" i="6"/>
  <c r="AR62" i="6" s="1"/>
  <c r="W62" i="6"/>
  <c r="X62" i="6" s="1"/>
  <c r="A63" i="6"/>
  <c r="B80" i="6"/>
  <c r="BI79" i="6"/>
  <c r="BH79" i="6"/>
  <c r="BF61" i="6"/>
  <c r="BG61" i="6"/>
  <c r="R61" i="6"/>
  <c r="AL61" i="6"/>
  <c r="BJ60" i="6"/>
  <c r="AS80" i="17"/>
  <c r="BN80" i="17"/>
  <c r="AU81" i="17"/>
  <c r="BM81" i="17"/>
  <c r="BS81" i="17"/>
  <c r="BX81" i="17"/>
  <c r="CH81" i="17"/>
  <c r="BZ82" i="17"/>
  <c r="CE82" i="17"/>
  <c r="CD82" i="17"/>
  <c r="CC81" i="17"/>
  <c r="BY83" i="17"/>
  <c r="BO83" i="17"/>
  <c r="B84" i="17"/>
  <c r="AT82" i="17"/>
  <c r="AQ82" i="17"/>
  <c r="CG83" i="17"/>
  <c r="BW83" i="17"/>
  <c r="C84" i="17"/>
  <c r="BV83" i="17"/>
  <c r="CF83" i="17"/>
  <c r="BT82" i="17"/>
  <c r="BP82" i="17"/>
  <c r="BU82" i="17"/>
  <c r="AY62" i="6"/>
  <c r="AX62" i="6"/>
  <c r="AO62" i="6"/>
  <c r="AN62" i="6"/>
  <c r="U62" i="6"/>
  <c r="K62" i="6"/>
  <c r="AE62" i="6"/>
  <c r="J62" i="6"/>
  <c r="AD62" i="6"/>
  <c r="T62" i="6"/>
  <c r="AW61" i="6"/>
  <c r="AZ61" i="6"/>
  <c r="DY81" i="17"/>
  <c r="DD81" i="17"/>
  <c r="M82" i="17"/>
  <c r="R82" i="17"/>
  <c r="AU62" i="6"/>
  <c r="D84" i="17"/>
  <c r="E84" i="17"/>
  <c r="N84" i="17"/>
  <c r="O84" i="17"/>
  <c r="H82" i="17"/>
  <c r="T83" i="17"/>
  <c r="S83" i="17"/>
  <c r="J83" i="17"/>
  <c r="I83" i="17"/>
  <c r="L84" i="17"/>
  <c r="V84" i="17"/>
  <c r="K84" i="17"/>
  <c r="U84" i="17"/>
  <c r="W82" i="17"/>
  <c r="DB82" i="17"/>
  <c r="DX82" i="17"/>
  <c r="DF82" i="17"/>
  <c r="X84" i="17"/>
  <c r="Y84" i="17" s="1"/>
  <c r="CI84" i="17"/>
  <c r="CJ84" i="17" s="1"/>
  <c r="DE83" i="17"/>
  <c r="AM61" i="6"/>
  <c r="AP61" i="6"/>
  <c r="AK62" i="6"/>
  <c r="S61" i="6"/>
  <c r="V61" i="6"/>
  <c r="AC61" i="6"/>
  <c r="AF61" i="6"/>
  <c r="G62" i="6"/>
  <c r="G61" i="6"/>
  <c r="S62" i="6"/>
  <c r="AC62" i="6"/>
  <c r="L61" i="6"/>
  <c r="AB62" i="6"/>
  <c r="AV62" i="6"/>
  <c r="R62" i="6"/>
  <c r="BJ61" i="6"/>
  <c r="B81" i="6"/>
  <c r="BI80" i="6"/>
  <c r="BH80" i="6"/>
  <c r="BA63" i="6"/>
  <c r="BB63" i="6" s="1"/>
  <c r="M63" i="6"/>
  <c r="N63" i="6"/>
  <c r="AQ63" i="6"/>
  <c r="AR63" i="6" s="1"/>
  <c r="W63" i="6"/>
  <c r="X63" i="6" s="1"/>
  <c r="AG63" i="6"/>
  <c r="AH63" i="6" s="1"/>
  <c r="A64" i="6"/>
  <c r="C63" i="6"/>
  <c r="D63" i="6"/>
  <c r="BE61" i="6"/>
  <c r="H62" i="6"/>
  <c r="AL62" i="6"/>
  <c r="BF62" i="6"/>
  <c r="BG62" i="6"/>
  <c r="BN81" i="17"/>
  <c r="AS81" i="17"/>
  <c r="AU82" i="17"/>
  <c r="BM82" i="17"/>
  <c r="CH82" i="17"/>
  <c r="CC82" i="17"/>
  <c r="BY84" i="17"/>
  <c r="BO84" i="17"/>
  <c r="B85" i="17"/>
  <c r="BT83" i="17"/>
  <c r="BP83" i="17"/>
  <c r="BU83" i="17"/>
  <c r="CD83" i="17"/>
  <c r="BZ83" i="17"/>
  <c r="CE83" i="17"/>
  <c r="C85" i="17"/>
  <c r="CG84" i="17"/>
  <c r="BW84" i="17"/>
  <c r="CF84" i="17"/>
  <c r="BV84" i="17"/>
  <c r="BX82" i="17"/>
  <c r="BS82" i="17"/>
  <c r="AT83" i="17"/>
  <c r="AQ83" i="17"/>
  <c r="AY63" i="6"/>
  <c r="AN63" i="6"/>
  <c r="AX63" i="6"/>
  <c r="AO63" i="6"/>
  <c r="AE63" i="6"/>
  <c r="T63" i="6"/>
  <c r="J63" i="6"/>
  <c r="U63" i="6"/>
  <c r="K63" i="6"/>
  <c r="AD63" i="6"/>
  <c r="DY82" i="17"/>
  <c r="H83" i="17"/>
  <c r="R83" i="17"/>
  <c r="W83" i="17"/>
  <c r="AM62" i="6"/>
  <c r="AP62" i="6"/>
  <c r="AW62" i="6"/>
  <c r="AZ62" i="6"/>
  <c r="AU63" i="6"/>
  <c r="L85" i="17"/>
  <c r="V85" i="17"/>
  <c r="K85" i="17"/>
  <c r="U85" i="17"/>
  <c r="D85" i="17"/>
  <c r="E85" i="17"/>
  <c r="N85" i="17"/>
  <c r="O85" i="17"/>
  <c r="T84" i="17"/>
  <c r="S84" i="17"/>
  <c r="M83" i="17"/>
  <c r="J84" i="17"/>
  <c r="I84" i="17"/>
  <c r="X85" i="17"/>
  <c r="Y85" i="17" s="1"/>
  <c r="CI85" i="17"/>
  <c r="CJ85" i="17" s="1"/>
  <c r="DD82" i="17"/>
  <c r="DB83" i="17"/>
  <c r="DX83" i="17"/>
  <c r="DF83" i="17"/>
  <c r="DE84" i="17"/>
  <c r="AK63" i="6"/>
  <c r="I62" i="6"/>
  <c r="L62" i="6"/>
  <c r="AL63" i="6"/>
  <c r="G63" i="6"/>
  <c r="AA62" i="6"/>
  <c r="Q62" i="6"/>
  <c r="AC63" i="6"/>
  <c r="S63" i="6"/>
  <c r="AF62" i="6"/>
  <c r="V62" i="6"/>
  <c r="R63" i="6"/>
  <c r="AV63" i="6"/>
  <c r="H63" i="6"/>
  <c r="AB63" i="6"/>
  <c r="BE62" i="6"/>
  <c r="BF63" i="6"/>
  <c r="BG63" i="6"/>
  <c r="BA64" i="6"/>
  <c r="BB64" i="6" s="1"/>
  <c r="M64" i="6"/>
  <c r="N64" i="6"/>
  <c r="C64" i="6"/>
  <c r="D64" i="6"/>
  <c r="AG64" i="6"/>
  <c r="AH64" i="6" s="1"/>
  <c r="A65" i="6"/>
  <c r="W64" i="6"/>
  <c r="X64" i="6" s="1"/>
  <c r="AQ64" i="6"/>
  <c r="AR64" i="6" s="1"/>
  <c r="B82" i="6"/>
  <c r="BI81" i="6"/>
  <c r="BH81" i="6"/>
  <c r="BJ62" i="6"/>
  <c r="AS82" i="17"/>
  <c r="BN82" i="17"/>
  <c r="AU83" i="17"/>
  <c r="BM83" i="17"/>
  <c r="B86" i="17"/>
  <c r="BY85" i="17"/>
  <c r="BO85" i="17"/>
  <c r="BS83" i="17"/>
  <c r="BT84" i="17"/>
  <c r="BP84" i="17"/>
  <c r="BU84" i="17"/>
  <c r="BW85" i="17"/>
  <c r="BV85" i="17"/>
  <c r="CF85" i="17"/>
  <c r="CG85" i="17"/>
  <c r="C86" i="17"/>
  <c r="AT84" i="17"/>
  <c r="AQ84" i="17"/>
  <c r="CH83" i="17"/>
  <c r="BX83" i="17"/>
  <c r="CC83" i="17"/>
  <c r="CD84" i="17"/>
  <c r="BZ84" i="17"/>
  <c r="CE84" i="17"/>
  <c r="AY64" i="6"/>
  <c r="AO64" i="6"/>
  <c r="AX64" i="6"/>
  <c r="AN64" i="6"/>
  <c r="K64" i="6"/>
  <c r="AD64" i="6"/>
  <c r="U64" i="6"/>
  <c r="J64" i="6"/>
  <c r="AE64" i="6"/>
  <c r="T64" i="6"/>
  <c r="DY83" i="17"/>
  <c r="DD83" i="17"/>
  <c r="M84" i="17"/>
  <c r="H84" i="17"/>
  <c r="AW63" i="6"/>
  <c r="AZ63" i="6"/>
  <c r="AU64" i="6"/>
  <c r="J85" i="17"/>
  <c r="I85" i="17"/>
  <c r="T85" i="17"/>
  <c r="S85" i="17"/>
  <c r="L86" i="17"/>
  <c r="V86" i="17"/>
  <c r="K86" i="17"/>
  <c r="U86" i="17"/>
  <c r="D86" i="17"/>
  <c r="E86" i="17"/>
  <c r="N86" i="17"/>
  <c r="O86" i="17"/>
  <c r="W84" i="17"/>
  <c r="R84" i="17"/>
  <c r="DB84" i="17"/>
  <c r="DX84" i="17"/>
  <c r="DF84" i="17"/>
  <c r="DE85" i="17"/>
  <c r="X86" i="17"/>
  <c r="Y86" i="17" s="1"/>
  <c r="CI86" i="17"/>
  <c r="CJ86" i="17" s="1"/>
  <c r="AK64" i="6"/>
  <c r="AM63" i="6"/>
  <c r="AP63" i="6"/>
  <c r="I63" i="6"/>
  <c r="L63" i="6"/>
  <c r="Q63" i="6"/>
  <c r="AA63" i="6"/>
  <c r="AA64" i="6"/>
  <c r="I64" i="6"/>
  <c r="Q64" i="6"/>
  <c r="AF63" i="6"/>
  <c r="AB64" i="6"/>
  <c r="R64" i="6"/>
  <c r="V63" i="6"/>
  <c r="H64" i="6"/>
  <c r="AL64" i="6"/>
  <c r="BF64" i="6"/>
  <c r="BG64" i="6"/>
  <c r="BJ63" i="6"/>
  <c r="BE63" i="6"/>
  <c r="B83" i="6"/>
  <c r="BI82" i="6"/>
  <c r="BH82" i="6"/>
  <c r="AV64" i="6"/>
  <c r="BA65" i="6"/>
  <c r="BB65" i="6" s="1"/>
  <c r="AG65" i="6"/>
  <c r="AH65" i="6" s="1"/>
  <c r="AQ65" i="6"/>
  <c r="AR65" i="6" s="1"/>
  <c r="A66" i="6"/>
  <c r="M65" i="6"/>
  <c r="N65" i="6"/>
  <c r="C65" i="6"/>
  <c r="D65" i="6"/>
  <c r="W65" i="6"/>
  <c r="X65" i="6" s="1"/>
  <c r="AS83" i="17"/>
  <c r="BN83" i="17"/>
  <c r="AU84" i="17"/>
  <c r="BM84" i="17"/>
  <c r="BZ85" i="17"/>
  <c r="CE85" i="17"/>
  <c r="CD85" i="17"/>
  <c r="BX84" i="17"/>
  <c r="B87" i="17"/>
  <c r="BY86" i="17"/>
  <c r="BO86" i="17"/>
  <c r="BS84" i="17"/>
  <c r="CH84" i="17"/>
  <c r="CG86" i="17"/>
  <c r="BW86" i="17"/>
  <c r="C87" i="17"/>
  <c r="BV86" i="17"/>
  <c r="CF86" i="17"/>
  <c r="AT85" i="17"/>
  <c r="AQ85" i="17"/>
  <c r="CC84" i="17"/>
  <c r="BP85" i="17"/>
  <c r="BU85" i="17"/>
  <c r="BT85" i="17"/>
  <c r="AX65" i="6"/>
  <c r="AO65" i="6"/>
  <c r="AN65" i="6"/>
  <c r="AY65" i="6"/>
  <c r="AD65" i="6"/>
  <c r="T65" i="6"/>
  <c r="AE65" i="6"/>
  <c r="K65" i="6"/>
  <c r="J65" i="6"/>
  <c r="U65" i="6"/>
  <c r="DY84" i="17"/>
  <c r="M85" i="17"/>
  <c r="H85" i="17"/>
  <c r="W85" i="17"/>
  <c r="AW64" i="6"/>
  <c r="AZ64" i="6"/>
  <c r="AU65" i="6"/>
  <c r="D87" i="17"/>
  <c r="E87" i="17"/>
  <c r="N87" i="17"/>
  <c r="O87" i="17"/>
  <c r="T86" i="17"/>
  <c r="S86" i="17"/>
  <c r="R85" i="17"/>
  <c r="J86" i="17"/>
  <c r="I86" i="17"/>
  <c r="L87" i="17"/>
  <c r="V87" i="17"/>
  <c r="K87" i="17"/>
  <c r="U87" i="17"/>
  <c r="X87" i="17"/>
  <c r="Y87" i="17" s="1"/>
  <c r="CI87" i="17"/>
  <c r="CJ87" i="17" s="1"/>
  <c r="DD84" i="17"/>
  <c r="DE86" i="17"/>
  <c r="DB85" i="17"/>
  <c r="DF85" i="17"/>
  <c r="AM64" i="6"/>
  <c r="AP64" i="6"/>
  <c r="AK65" i="6"/>
  <c r="S64" i="6"/>
  <c r="V64" i="6"/>
  <c r="G64" i="6"/>
  <c r="AA65" i="6"/>
  <c r="G65" i="6"/>
  <c r="AC64" i="6"/>
  <c r="AF64" i="6"/>
  <c r="Q65" i="6"/>
  <c r="L64" i="6"/>
  <c r="AL65" i="6"/>
  <c r="H65" i="6"/>
  <c r="AB65" i="6"/>
  <c r="BA66" i="6"/>
  <c r="BB66" i="6" s="1"/>
  <c r="W66" i="6"/>
  <c r="X66" i="6" s="1"/>
  <c r="A67" i="6"/>
  <c r="M66" i="6"/>
  <c r="N66" i="6"/>
  <c r="C66" i="6"/>
  <c r="D66" i="6"/>
  <c r="AG66" i="6"/>
  <c r="AH66" i="6" s="1"/>
  <c r="AQ66" i="6"/>
  <c r="AR66" i="6" s="1"/>
  <c r="AV65" i="6"/>
  <c r="BF65" i="6"/>
  <c r="BG65" i="6"/>
  <c r="BJ64" i="6"/>
  <c r="R65" i="6"/>
  <c r="B84" i="6"/>
  <c r="BI83" i="6"/>
  <c r="BH83" i="6"/>
  <c r="BE64" i="6"/>
  <c r="AS84" i="17"/>
  <c r="BN84" i="17"/>
  <c r="AU85" i="17"/>
  <c r="BM85" i="17"/>
  <c r="BX85" i="17"/>
  <c r="BO87" i="17"/>
  <c r="BY87" i="17"/>
  <c r="B88" i="17"/>
  <c r="AT86" i="17"/>
  <c r="AQ86" i="17"/>
  <c r="BP86" i="17"/>
  <c r="BU86" i="17"/>
  <c r="BT86" i="17"/>
  <c r="BS85" i="17"/>
  <c r="BZ86" i="17"/>
  <c r="CE86" i="17"/>
  <c r="CD86" i="17"/>
  <c r="CG87" i="17"/>
  <c r="BW87" i="17"/>
  <c r="CF87" i="17"/>
  <c r="BV87" i="17"/>
  <c r="C88" i="17"/>
  <c r="CH85" i="17"/>
  <c r="CC85" i="17"/>
  <c r="AY66" i="6"/>
  <c r="AX66" i="6"/>
  <c r="AO66" i="6"/>
  <c r="AN66" i="6"/>
  <c r="AE66" i="6"/>
  <c r="T66" i="6"/>
  <c r="U66" i="6"/>
  <c r="K66" i="6"/>
  <c r="AD66" i="6"/>
  <c r="J66" i="6"/>
  <c r="AM65" i="6"/>
  <c r="AP65" i="6"/>
  <c r="AW65" i="6"/>
  <c r="AZ65" i="6"/>
  <c r="AU66" i="6"/>
  <c r="H86" i="17"/>
  <c r="D88" i="17"/>
  <c r="E88" i="17"/>
  <c r="N88" i="17"/>
  <c r="O88" i="17"/>
  <c r="W86" i="17"/>
  <c r="R86" i="17"/>
  <c r="L88" i="17"/>
  <c r="V88" i="17"/>
  <c r="K88" i="17"/>
  <c r="U88" i="17"/>
  <c r="T87" i="17"/>
  <c r="S87" i="17"/>
  <c r="M86" i="17"/>
  <c r="J87" i="17"/>
  <c r="I87" i="17"/>
  <c r="DB86" i="17"/>
  <c r="DX86" i="17"/>
  <c r="DF86" i="17"/>
  <c r="DE87" i="17"/>
  <c r="DX85" i="17"/>
  <c r="DY85" i="17"/>
  <c r="DD85" i="17"/>
  <c r="X88" i="17"/>
  <c r="Y88" i="17" s="1"/>
  <c r="CI88" i="17"/>
  <c r="CJ88" i="17" s="1"/>
  <c r="AM66" i="6"/>
  <c r="S65" i="6"/>
  <c r="V65" i="6"/>
  <c r="I65" i="6"/>
  <c r="L65" i="6"/>
  <c r="AC65" i="6"/>
  <c r="AF65" i="6"/>
  <c r="S66" i="6"/>
  <c r="G66" i="6"/>
  <c r="AA66" i="6"/>
  <c r="AB66" i="6"/>
  <c r="AL66" i="6"/>
  <c r="H66" i="6"/>
  <c r="BJ65" i="6"/>
  <c r="BA67" i="6"/>
  <c r="BB67" i="6" s="1"/>
  <c r="M67" i="6"/>
  <c r="N67" i="6"/>
  <c r="C67" i="6"/>
  <c r="D67" i="6"/>
  <c r="AG67" i="6"/>
  <c r="AH67" i="6" s="1"/>
  <c r="W67" i="6"/>
  <c r="X67" i="6" s="1"/>
  <c r="A68" i="6"/>
  <c r="AQ67" i="6"/>
  <c r="AR67" i="6" s="1"/>
  <c r="R66" i="6"/>
  <c r="BE65" i="6"/>
  <c r="AV66" i="6"/>
  <c r="B85" i="6"/>
  <c r="BI84" i="6"/>
  <c r="BH84" i="6"/>
  <c r="BF66" i="6"/>
  <c r="BG66" i="6"/>
  <c r="AS85" i="17"/>
  <c r="BN85" i="17"/>
  <c r="AU86" i="17"/>
  <c r="BM86" i="17"/>
  <c r="CH86" i="17"/>
  <c r="BX86" i="17"/>
  <c r="BT87" i="17"/>
  <c r="BP87" i="17"/>
  <c r="BU87" i="17"/>
  <c r="CG88" i="17"/>
  <c r="C89" i="17"/>
  <c r="BW88" i="17"/>
  <c r="BV88" i="17"/>
  <c r="CF88" i="17"/>
  <c r="BS86" i="17"/>
  <c r="BO88" i="17"/>
  <c r="B89" i="17"/>
  <c r="BY88" i="17"/>
  <c r="CC86" i="17"/>
  <c r="BZ87" i="17"/>
  <c r="CE87" i="17"/>
  <c r="CD87" i="17"/>
  <c r="AQ87" i="17"/>
  <c r="AT87" i="17"/>
  <c r="AY67" i="6"/>
  <c r="AX67" i="6"/>
  <c r="AN67" i="6"/>
  <c r="AO67" i="6"/>
  <c r="U67" i="6"/>
  <c r="T67" i="6"/>
  <c r="K67" i="6"/>
  <c r="J67" i="6"/>
  <c r="AD67" i="6"/>
  <c r="AE67" i="6"/>
  <c r="DY86" i="17"/>
  <c r="AK66" i="6"/>
  <c r="AW66" i="6"/>
  <c r="AW67" i="6"/>
  <c r="H87" i="17"/>
  <c r="D89" i="17"/>
  <c r="E89" i="17"/>
  <c r="N89" i="17"/>
  <c r="O89" i="17"/>
  <c r="W87" i="17"/>
  <c r="R87" i="17"/>
  <c r="T88" i="17"/>
  <c r="S88" i="17"/>
  <c r="J88" i="17"/>
  <c r="I88" i="17"/>
  <c r="L89" i="17"/>
  <c r="V89" i="17"/>
  <c r="K89" i="17"/>
  <c r="U89" i="17"/>
  <c r="M87" i="17"/>
  <c r="DB87" i="17"/>
  <c r="DX87" i="17"/>
  <c r="DF87" i="17"/>
  <c r="X89" i="17"/>
  <c r="Y89" i="17" s="1"/>
  <c r="CI89" i="17"/>
  <c r="CJ89" i="17" s="1"/>
  <c r="DE88" i="17"/>
  <c r="DD86" i="17"/>
  <c r="AK67" i="6"/>
  <c r="G67" i="6"/>
  <c r="I66" i="6"/>
  <c r="L66" i="6"/>
  <c r="AC66" i="6"/>
  <c r="AF66" i="6"/>
  <c r="Q67" i="6"/>
  <c r="Q66" i="6"/>
  <c r="AC67" i="6"/>
  <c r="R67" i="6"/>
  <c r="V66" i="6"/>
  <c r="AP66" i="6"/>
  <c r="AZ66" i="6"/>
  <c r="AV67" i="6"/>
  <c r="AB67" i="6"/>
  <c r="H67" i="6"/>
  <c r="AL67" i="6"/>
  <c r="BA68" i="6"/>
  <c r="BB68" i="6" s="1"/>
  <c r="AQ68" i="6"/>
  <c r="AR68" i="6" s="1"/>
  <c r="A69" i="6"/>
  <c r="M68" i="6"/>
  <c r="N68" i="6"/>
  <c r="C68" i="6"/>
  <c r="D68" i="6"/>
  <c r="W68" i="6"/>
  <c r="X68" i="6" s="1"/>
  <c r="AG68" i="6"/>
  <c r="AH68" i="6" s="1"/>
  <c r="B86" i="6"/>
  <c r="BI85" i="6"/>
  <c r="BH85" i="6"/>
  <c r="BF67" i="6"/>
  <c r="BG67" i="6"/>
  <c r="BJ66" i="6"/>
  <c r="BE66" i="6"/>
  <c r="AS86" i="17"/>
  <c r="BN86" i="17"/>
  <c r="AU87" i="17"/>
  <c r="BM87" i="17"/>
  <c r="CH87" i="17"/>
  <c r="B90" i="17"/>
  <c r="BY89" i="17"/>
  <c r="BO89" i="17"/>
  <c r="AT88" i="17"/>
  <c r="AQ88" i="17"/>
  <c r="BX87" i="17"/>
  <c r="CD88" i="17"/>
  <c r="BZ88" i="17"/>
  <c r="CE88" i="17"/>
  <c r="CC87" i="17"/>
  <c r="BT88" i="17"/>
  <c r="BP88" i="17"/>
  <c r="BU88" i="17"/>
  <c r="BS87" i="17"/>
  <c r="CG89" i="17"/>
  <c r="BW89" i="17"/>
  <c r="BV89" i="17"/>
  <c r="C90" i="17"/>
  <c r="CF89" i="17"/>
  <c r="AO68" i="6"/>
  <c r="AN68" i="6"/>
  <c r="AY68" i="6"/>
  <c r="AX68" i="6"/>
  <c r="AD68" i="6"/>
  <c r="T68" i="6"/>
  <c r="K68" i="6"/>
  <c r="U68" i="6"/>
  <c r="AE68" i="6"/>
  <c r="J68" i="6"/>
  <c r="DY87" i="17"/>
  <c r="M88" i="17"/>
  <c r="AM67" i="6"/>
  <c r="AP67" i="6"/>
  <c r="AU68" i="6"/>
  <c r="AU67" i="6"/>
  <c r="R88" i="17"/>
  <c r="D90" i="17"/>
  <c r="E90" i="17"/>
  <c r="N90" i="17"/>
  <c r="O90" i="17"/>
  <c r="H88" i="17"/>
  <c r="T89" i="17"/>
  <c r="S89" i="17"/>
  <c r="L90" i="17"/>
  <c r="V90" i="17"/>
  <c r="K90" i="17"/>
  <c r="U90" i="17"/>
  <c r="J89" i="17"/>
  <c r="I89" i="17"/>
  <c r="W88" i="17"/>
  <c r="X90" i="17"/>
  <c r="Y90" i="17" s="1"/>
  <c r="CI90" i="17"/>
  <c r="CJ90" i="17" s="1"/>
  <c r="DE89" i="17"/>
  <c r="DB88" i="17"/>
  <c r="DX88" i="17"/>
  <c r="DF88" i="17"/>
  <c r="DD87" i="17"/>
  <c r="AK68" i="6"/>
  <c r="AZ67" i="6"/>
  <c r="I67" i="6"/>
  <c r="L67" i="6"/>
  <c r="AA67" i="6"/>
  <c r="S67" i="6"/>
  <c r="V67" i="6"/>
  <c r="AA68" i="6"/>
  <c r="G68" i="6"/>
  <c r="S68" i="6"/>
  <c r="AF67" i="6"/>
  <c r="R68" i="6"/>
  <c r="H68" i="6"/>
  <c r="AB68" i="6"/>
  <c r="AV68" i="6"/>
  <c r="B87" i="6"/>
  <c r="BI86" i="6"/>
  <c r="BH86" i="6"/>
  <c r="BJ67" i="6"/>
  <c r="BE67" i="6"/>
  <c r="BA69" i="6"/>
  <c r="BB69" i="6" s="1"/>
  <c r="C69" i="6"/>
  <c r="D69" i="6"/>
  <c r="W69" i="6"/>
  <c r="X69" i="6" s="1"/>
  <c r="AQ69" i="6"/>
  <c r="AR69" i="6" s="1"/>
  <c r="A70" i="6"/>
  <c r="AG69" i="6"/>
  <c r="AH69" i="6" s="1"/>
  <c r="M69" i="6"/>
  <c r="N69" i="6"/>
  <c r="AL68" i="6"/>
  <c r="BG68" i="6"/>
  <c r="BF68" i="6"/>
  <c r="AS87" i="17"/>
  <c r="BN87" i="17"/>
  <c r="AU88" i="17"/>
  <c r="BM88" i="17"/>
  <c r="AQ89" i="17"/>
  <c r="AT89" i="17"/>
  <c r="CH88" i="17"/>
  <c r="CC88" i="17"/>
  <c r="CG90" i="17"/>
  <c r="BW90" i="17"/>
  <c r="C91" i="17"/>
  <c r="BV90" i="17"/>
  <c r="CF90" i="17"/>
  <c r="BP89" i="17"/>
  <c r="BU89" i="17"/>
  <c r="BT89" i="17"/>
  <c r="BX88" i="17"/>
  <c r="CD89" i="17"/>
  <c r="BZ89" i="17"/>
  <c r="CE89" i="17"/>
  <c r="BS88" i="17"/>
  <c r="B91" i="17"/>
  <c r="BY90" i="17"/>
  <c r="BO90" i="17"/>
  <c r="AX69" i="6"/>
  <c r="AY69" i="6"/>
  <c r="AO69" i="6"/>
  <c r="AN69" i="6"/>
  <c r="AD69" i="6"/>
  <c r="J69" i="6"/>
  <c r="U69" i="6"/>
  <c r="K69" i="6"/>
  <c r="AE69" i="6"/>
  <c r="T69" i="6"/>
  <c r="DY88" i="17"/>
  <c r="H89" i="17"/>
  <c r="M89" i="17"/>
  <c r="W89" i="17"/>
  <c r="R89" i="17"/>
  <c r="AW68" i="6"/>
  <c r="AZ68" i="6"/>
  <c r="AU69" i="6"/>
  <c r="L91" i="17"/>
  <c r="V91" i="17"/>
  <c r="K91" i="17"/>
  <c r="U91" i="17"/>
  <c r="T90" i="17"/>
  <c r="S90" i="17"/>
  <c r="J90" i="17"/>
  <c r="I90" i="17"/>
  <c r="D91" i="17"/>
  <c r="E91" i="17"/>
  <c r="N91" i="17"/>
  <c r="O91" i="17"/>
  <c r="DB89" i="17"/>
  <c r="DX89" i="17"/>
  <c r="DF89" i="17"/>
  <c r="X91" i="17"/>
  <c r="Y91" i="17" s="1"/>
  <c r="CI91" i="17"/>
  <c r="CJ91" i="17" s="1"/>
  <c r="DE90" i="17"/>
  <c r="DD88" i="17"/>
  <c r="AM68" i="6"/>
  <c r="AP68" i="6"/>
  <c r="AK69" i="6"/>
  <c r="I68" i="6"/>
  <c r="L68" i="6"/>
  <c r="AC68" i="6"/>
  <c r="AF68" i="6"/>
  <c r="Q69" i="6"/>
  <c r="Q68" i="6"/>
  <c r="AC69" i="6"/>
  <c r="I69" i="6"/>
  <c r="V68" i="6"/>
  <c r="H69" i="6"/>
  <c r="AV69" i="6"/>
  <c r="AL69" i="6"/>
  <c r="AB69" i="6"/>
  <c r="R69" i="6"/>
  <c r="BF69" i="6"/>
  <c r="BG69" i="6"/>
  <c r="BA70" i="6"/>
  <c r="BB70" i="6" s="1"/>
  <c r="W70" i="6"/>
  <c r="X70" i="6" s="1"/>
  <c r="A71" i="6"/>
  <c r="M70" i="6"/>
  <c r="N70" i="6"/>
  <c r="AG70" i="6"/>
  <c r="AH70" i="6" s="1"/>
  <c r="C70" i="6"/>
  <c r="D70" i="6"/>
  <c r="AQ70" i="6"/>
  <c r="AR70" i="6" s="1"/>
  <c r="BJ68" i="6"/>
  <c r="BE68" i="6"/>
  <c r="B88" i="6"/>
  <c r="B89" i="6"/>
  <c r="BI87" i="6"/>
  <c r="BH87" i="6"/>
  <c r="AS88" i="17"/>
  <c r="BN88" i="17"/>
  <c r="AU89" i="17"/>
  <c r="BM89" i="17"/>
  <c r="BX89" i="17"/>
  <c r="CD90" i="17"/>
  <c r="BZ90" i="17"/>
  <c r="CE90" i="17"/>
  <c r="BS89" i="17"/>
  <c r="CG91" i="17"/>
  <c r="BW91" i="17"/>
  <c r="CF91" i="17"/>
  <c r="BV91" i="17"/>
  <c r="C92" i="17"/>
  <c r="AT90" i="17"/>
  <c r="AQ90" i="17"/>
  <c r="CH89" i="17"/>
  <c r="BP90" i="17"/>
  <c r="BU90" i="17"/>
  <c r="BT90" i="17"/>
  <c r="CC89" i="17"/>
  <c r="B92" i="17"/>
  <c r="BO91" i="17"/>
  <c r="BY91" i="17"/>
  <c r="AY70" i="6"/>
  <c r="AX70" i="6"/>
  <c r="AO70" i="6"/>
  <c r="AN70" i="6"/>
  <c r="U70" i="6"/>
  <c r="J70" i="6"/>
  <c r="AE70" i="6"/>
  <c r="T70" i="6"/>
  <c r="AD70" i="6"/>
  <c r="K70" i="6"/>
  <c r="DY89" i="17"/>
  <c r="M90" i="17"/>
  <c r="AU70" i="6"/>
  <c r="AW69" i="6"/>
  <c r="AZ69" i="6"/>
  <c r="T91" i="17"/>
  <c r="S91" i="17"/>
  <c r="DD89" i="17"/>
  <c r="J91" i="17"/>
  <c r="I91" i="17"/>
  <c r="L92" i="17"/>
  <c r="V92" i="17"/>
  <c r="K92" i="17"/>
  <c r="U92" i="17"/>
  <c r="H90" i="17"/>
  <c r="W90" i="17"/>
  <c r="R90" i="17"/>
  <c r="D92" i="17"/>
  <c r="E92" i="17"/>
  <c r="N92" i="17"/>
  <c r="O92" i="17"/>
  <c r="DB90" i="17"/>
  <c r="DX90" i="17"/>
  <c r="DF90" i="17"/>
  <c r="X92" i="17"/>
  <c r="Y92" i="17" s="1"/>
  <c r="CI92" i="17"/>
  <c r="CJ92" i="17" s="1"/>
  <c r="DE91" i="17"/>
  <c r="AM69" i="6"/>
  <c r="AP69" i="6"/>
  <c r="AK70" i="6"/>
  <c r="S69" i="6"/>
  <c r="V69" i="6"/>
  <c r="G69" i="6"/>
  <c r="G70" i="6"/>
  <c r="AA69" i="6"/>
  <c r="Q70" i="6"/>
  <c r="AC70" i="6"/>
  <c r="L69" i="6"/>
  <c r="AL70" i="6"/>
  <c r="AF69" i="6"/>
  <c r="AB70" i="6"/>
  <c r="R70" i="6"/>
  <c r="H70" i="6"/>
  <c r="AV70" i="6"/>
  <c r="BA71" i="6"/>
  <c r="BB71" i="6" s="1"/>
  <c r="W71" i="6"/>
  <c r="X71" i="6" s="1"/>
  <c r="A72" i="6"/>
  <c r="AG71" i="6"/>
  <c r="AH71" i="6" s="1"/>
  <c r="M71" i="6"/>
  <c r="N71" i="6"/>
  <c r="C71" i="6"/>
  <c r="D71" i="6"/>
  <c r="AQ71" i="6"/>
  <c r="AR71" i="6" s="1"/>
  <c r="BF70" i="6"/>
  <c r="BG70" i="6"/>
  <c r="BI88" i="6"/>
  <c r="BH88" i="6"/>
  <c r="BJ69" i="6"/>
  <c r="BE69" i="6"/>
  <c r="AS89" i="17"/>
  <c r="BN89" i="17"/>
  <c r="AU90" i="17"/>
  <c r="BM90" i="17"/>
  <c r="BX90" i="17"/>
  <c r="BP91" i="17"/>
  <c r="BU91" i="17"/>
  <c r="BT91" i="17"/>
  <c r="BO92" i="17"/>
  <c r="BY92" i="17"/>
  <c r="B93" i="17"/>
  <c r="AT91" i="17"/>
  <c r="AQ91" i="17"/>
  <c r="CD91" i="17"/>
  <c r="BZ91" i="17"/>
  <c r="CE91" i="17"/>
  <c r="CC90" i="17"/>
  <c r="BS90" i="17"/>
  <c r="C93" i="17"/>
  <c r="CG92" i="17"/>
  <c r="BW92" i="17"/>
  <c r="BV92" i="17"/>
  <c r="CF92" i="17"/>
  <c r="CH90" i="17"/>
  <c r="AY71" i="6"/>
  <c r="AN71" i="6"/>
  <c r="AX71" i="6"/>
  <c r="AO71" i="6"/>
  <c r="AE71" i="6"/>
  <c r="J71" i="6"/>
  <c r="U71" i="6"/>
  <c r="T71" i="6"/>
  <c r="AD71" i="6"/>
  <c r="K71" i="6"/>
  <c r="AW70" i="6"/>
  <c r="AZ70" i="6"/>
  <c r="DY90" i="17"/>
  <c r="H91" i="17"/>
  <c r="M91" i="17"/>
  <c r="W91" i="17"/>
  <c r="AU71" i="6"/>
  <c r="L93" i="17"/>
  <c r="V93" i="17"/>
  <c r="K93" i="17"/>
  <c r="U93" i="17"/>
  <c r="J92" i="17"/>
  <c r="I92" i="17"/>
  <c r="R91" i="17"/>
  <c r="D93" i="17"/>
  <c r="E93" i="17"/>
  <c r="N93" i="17"/>
  <c r="O93" i="17"/>
  <c r="T92" i="17"/>
  <c r="S92" i="17"/>
  <c r="DB91" i="17"/>
  <c r="DX91" i="17"/>
  <c r="DF91" i="17"/>
  <c r="DE92" i="17"/>
  <c r="X93" i="17"/>
  <c r="Y93" i="17" s="1"/>
  <c r="CI93" i="17"/>
  <c r="CJ93" i="17" s="1"/>
  <c r="DD90" i="17"/>
  <c r="AK71" i="6"/>
  <c r="AM70" i="6"/>
  <c r="AP70" i="6"/>
  <c r="I70" i="6"/>
  <c r="L70" i="6"/>
  <c r="S70" i="6"/>
  <c r="V70" i="6"/>
  <c r="AA70" i="6"/>
  <c r="Q71" i="6"/>
  <c r="G71" i="6"/>
  <c r="AA71" i="6"/>
  <c r="AF70" i="6"/>
  <c r="AV71" i="6"/>
  <c r="H71" i="6"/>
  <c r="AL71" i="6"/>
  <c r="AB71" i="6"/>
  <c r="R71" i="6"/>
  <c r="BE70" i="6"/>
  <c r="B90" i="6"/>
  <c r="BI89" i="6"/>
  <c r="BH89" i="6"/>
  <c r="BA72" i="6"/>
  <c r="BB72" i="6" s="1"/>
  <c r="AQ72" i="6"/>
  <c r="AR72" i="6" s="1"/>
  <c r="AG72" i="6"/>
  <c r="AH72" i="6" s="1"/>
  <c r="A73" i="6"/>
  <c r="M72" i="6"/>
  <c r="N72" i="6"/>
  <c r="C72" i="6"/>
  <c r="D72" i="6"/>
  <c r="W72" i="6"/>
  <c r="X72" i="6" s="1"/>
  <c r="BJ70" i="6"/>
  <c r="BF71" i="6"/>
  <c r="BG71" i="6"/>
  <c r="BN90" i="17"/>
  <c r="AS90" i="17"/>
  <c r="AU91" i="17"/>
  <c r="BX91" i="17"/>
  <c r="CH91" i="17"/>
  <c r="B94" i="17"/>
  <c r="BY93" i="17"/>
  <c r="BO93" i="17"/>
  <c r="CG93" i="17"/>
  <c r="BW93" i="17"/>
  <c r="CF93" i="17"/>
  <c r="C94" i="17"/>
  <c r="BV93" i="17"/>
  <c r="BZ92" i="17"/>
  <c r="CE92" i="17"/>
  <c r="CD92" i="17"/>
  <c r="AT92" i="17"/>
  <c r="AQ92" i="17"/>
  <c r="CC91" i="17"/>
  <c r="BT92" i="17"/>
  <c r="BP92" i="17"/>
  <c r="BU92" i="17"/>
  <c r="BS91" i="17"/>
  <c r="AY72" i="6"/>
  <c r="AO72" i="6"/>
  <c r="AX72" i="6"/>
  <c r="AN72" i="6"/>
  <c r="K72" i="6"/>
  <c r="AD72" i="6"/>
  <c r="T72" i="6"/>
  <c r="U72" i="6"/>
  <c r="J72" i="6"/>
  <c r="AE72" i="6"/>
  <c r="DY91" i="17"/>
  <c r="M92" i="17"/>
  <c r="H92" i="17"/>
  <c r="W92" i="17"/>
  <c r="R92" i="17"/>
  <c r="AM71" i="6"/>
  <c r="AP71" i="6"/>
  <c r="AW71" i="6"/>
  <c r="AZ71" i="6"/>
  <c r="AU72" i="6"/>
  <c r="D94" i="17"/>
  <c r="E94" i="17"/>
  <c r="N94" i="17"/>
  <c r="O94" i="17"/>
  <c r="L94" i="17"/>
  <c r="V94" i="17"/>
  <c r="K94" i="17"/>
  <c r="U94" i="17"/>
  <c r="DD91" i="17"/>
  <c r="J93" i="17"/>
  <c r="I93" i="17"/>
  <c r="T93" i="17"/>
  <c r="S93" i="17"/>
  <c r="DB92" i="17"/>
  <c r="DX92" i="17"/>
  <c r="DF92" i="17"/>
  <c r="DE93" i="17"/>
  <c r="X94" i="17"/>
  <c r="Y94" i="17" s="1"/>
  <c r="CI94" i="17"/>
  <c r="CJ94" i="17" s="1"/>
  <c r="AM72" i="6"/>
  <c r="I71" i="6"/>
  <c r="L71" i="6"/>
  <c r="AC71" i="6"/>
  <c r="AF71" i="6"/>
  <c r="AA72" i="6"/>
  <c r="I72" i="6"/>
  <c r="S72" i="6"/>
  <c r="S71" i="6"/>
  <c r="V71" i="6"/>
  <c r="H72" i="6"/>
  <c r="AB72" i="6"/>
  <c r="AV72" i="6"/>
  <c r="BF72" i="6"/>
  <c r="BG72" i="6"/>
  <c r="B91" i="6"/>
  <c r="BI90" i="6"/>
  <c r="BH90" i="6"/>
  <c r="AL72" i="6"/>
  <c r="BJ71" i="6"/>
  <c r="R72" i="6"/>
  <c r="BE71" i="6"/>
  <c r="BA73" i="6"/>
  <c r="BB73" i="6" s="1"/>
  <c r="A74" i="6"/>
  <c r="M73" i="6"/>
  <c r="N73" i="6"/>
  <c r="C73" i="6"/>
  <c r="D73" i="6"/>
  <c r="W73" i="6"/>
  <c r="X73" i="6" s="1"/>
  <c r="AG73" i="6"/>
  <c r="AH73" i="6" s="1"/>
  <c r="AQ73" i="6"/>
  <c r="AR73" i="6" s="1"/>
  <c r="AS91" i="17"/>
  <c r="BM91" i="17"/>
  <c r="BN91" i="17"/>
  <c r="AU92" i="17"/>
  <c r="BM92" i="17"/>
  <c r="CH92" i="17"/>
  <c r="CC92" i="17"/>
  <c r="BT93" i="17"/>
  <c r="BP93" i="17"/>
  <c r="BU93" i="17"/>
  <c r="AT93" i="17"/>
  <c r="AQ93" i="17"/>
  <c r="BX92" i="17"/>
  <c r="CD93" i="17"/>
  <c r="BZ93" i="17"/>
  <c r="CE93" i="17"/>
  <c r="BS92" i="17"/>
  <c r="B95" i="17"/>
  <c r="BY94" i="17"/>
  <c r="BO94" i="17"/>
  <c r="CG94" i="17"/>
  <c r="BW94" i="17"/>
  <c r="CF94" i="17"/>
  <c r="BV94" i="17"/>
  <c r="C95" i="17"/>
  <c r="AX73" i="6"/>
  <c r="AO73" i="6"/>
  <c r="AN73" i="6"/>
  <c r="AY73" i="6"/>
  <c r="AD73" i="6"/>
  <c r="T73" i="6"/>
  <c r="AE73" i="6"/>
  <c r="J73" i="6"/>
  <c r="K73" i="6"/>
  <c r="U73" i="6"/>
  <c r="DY92" i="17"/>
  <c r="AK72" i="6"/>
  <c r="AW72" i="6"/>
  <c r="AZ72" i="6"/>
  <c r="AU73" i="6"/>
  <c r="W93" i="17"/>
  <c r="D95" i="17"/>
  <c r="E95" i="17"/>
  <c r="N95" i="17"/>
  <c r="O95" i="17"/>
  <c r="R93" i="17"/>
  <c r="L95" i="17"/>
  <c r="V95" i="17"/>
  <c r="K95" i="17"/>
  <c r="U95" i="17"/>
  <c r="M93" i="17"/>
  <c r="T94" i="17"/>
  <c r="S94" i="17"/>
  <c r="DD92" i="17"/>
  <c r="H93" i="17"/>
  <c r="J94" i="17"/>
  <c r="I94" i="17"/>
  <c r="DE94" i="17"/>
  <c r="X95" i="17"/>
  <c r="Y95" i="17" s="1"/>
  <c r="CI95" i="17"/>
  <c r="CJ95" i="17" s="1"/>
  <c r="DB93" i="17"/>
  <c r="DF93" i="17"/>
  <c r="AK73" i="6"/>
  <c r="AC72" i="6"/>
  <c r="AF72" i="6"/>
  <c r="Q72" i="6"/>
  <c r="G72" i="6"/>
  <c r="G73" i="6"/>
  <c r="AA73" i="6"/>
  <c r="S73" i="6"/>
  <c r="V72" i="6"/>
  <c r="L72" i="6"/>
  <c r="H73" i="6"/>
  <c r="AV73" i="6"/>
  <c r="AB73" i="6"/>
  <c r="AP72" i="6"/>
  <c r="AL73" i="6"/>
  <c r="BA74" i="6"/>
  <c r="BB74" i="6" s="1"/>
  <c r="W74" i="6"/>
  <c r="X74" i="6" s="1"/>
  <c r="A75" i="6"/>
  <c r="AG74" i="6"/>
  <c r="AH74" i="6" s="1"/>
  <c r="M74" i="6"/>
  <c r="N74" i="6"/>
  <c r="C74" i="6"/>
  <c r="D74" i="6"/>
  <c r="AQ74" i="6"/>
  <c r="AR74" i="6" s="1"/>
  <c r="BF73" i="6"/>
  <c r="BG73" i="6"/>
  <c r="B92" i="6"/>
  <c r="BI91" i="6"/>
  <c r="BH91" i="6"/>
  <c r="BJ72" i="6"/>
  <c r="R73" i="6"/>
  <c r="BE72" i="6"/>
  <c r="AS92" i="17"/>
  <c r="BN92" i="17"/>
  <c r="AU93" i="17"/>
  <c r="BM93" i="17"/>
  <c r="B96" i="17"/>
  <c r="BY95" i="17"/>
  <c r="BO95" i="17"/>
  <c r="AT94" i="17"/>
  <c r="AQ94" i="17"/>
  <c r="BS93" i="17"/>
  <c r="CG95" i="17"/>
  <c r="BW95" i="17"/>
  <c r="C96" i="17"/>
  <c r="BV95" i="17"/>
  <c r="CF95" i="17"/>
  <c r="CH93" i="17"/>
  <c r="CC93" i="17"/>
  <c r="BX93" i="17"/>
  <c r="BP94" i="17"/>
  <c r="BU94" i="17"/>
  <c r="BT94" i="17"/>
  <c r="BZ94" i="17"/>
  <c r="CE94" i="17"/>
  <c r="CD94" i="17"/>
  <c r="AY74" i="6"/>
  <c r="AX74" i="6"/>
  <c r="AO74" i="6"/>
  <c r="AN74" i="6"/>
  <c r="AE74" i="6"/>
  <c r="U74" i="6"/>
  <c r="T74" i="6"/>
  <c r="K74" i="6"/>
  <c r="J74" i="6"/>
  <c r="AD74" i="6"/>
  <c r="AM73" i="6"/>
  <c r="AP73" i="6"/>
  <c r="AW74" i="6"/>
  <c r="AW73" i="6"/>
  <c r="AZ73" i="6"/>
  <c r="W94" i="17"/>
  <c r="R94" i="17"/>
  <c r="D96" i="17"/>
  <c r="E96" i="17"/>
  <c r="N96" i="17"/>
  <c r="O96" i="17"/>
  <c r="T95" i="17"/>
  <c r="S95" i="17"/>
  <c r="L96" i="17"/>
  <c r="V96" i="17"/>
  <c r="K96" i="17"/>
  <c r="U96" i="17"/>
  <c r="M94" i="17"/>
  <c r="J95" i="17"/>
  <c r="I95" i="17"/>
  <c r="H94" i="17"/>
  <c r="X96" i="17"/>
  <c r="Y96" i="17" s="1"/>
  <c r="CI96" i="17"/>
  <c r="CJ96" i="17" s="1"/>
  <c r="DE95" i="17"/>
  <c r="DB94" i="17"/>
  <c r="DF94" i="17"/>
  <c r="DX93" i="17"/>
  <c r="DY93" i="17"/>
  <c r="DD93" i="17"/>
  <c r="AM74" i="6"/>
  <c r="AC73" i="6"/>
  <c r="AF73" i="6"/>
  <c r="Q73" i="6"/>
  <c r="Q74" i="6"/>
  <c r="AA74" i="6"/>
  <c r="I73" i="6"/>
  <c r="L73" i="6"/>
  <c r="I74" i="6"/>
  <c r="AL74" i="6"/>
  <c r="AV74" i="6"/>
  <c r="V73" i="6"/>
  <c r="AB74" i="6"/>
  <c r="R74" i="6"/>
  <c r="BE73" i="6"/>
  <c r="B93" i="6"/>
  <c r="BI92" i="6"/>
  <c r="BH92" i="6"/>
  <c r="BA75" i="6"/>
  <c r="BB75" i="6" s="1"/>
  <c r="AG75" i="6"/>
  <c r="AH75" i="6" s="1"/>
  <c r="W75" i="6"/>
  <c r="X75" i="6" s="1"/>
  <c r="A76" i="6"/>
  <c r="AQ75" i="6"/>
  <c r="AR75" i="6" s="1"/>
  <c r="M75" i="6"/>
  <c r="N75" i="6"/>
  <c r="C75" i="6"/>
  <c r="D75" i="6"/>
  <c r="H74" i="6"/>
  <c r="BJ73" i="6"/>
  <c r="BF74" i="6"/>
  <c r="BG74" i="6"/>
  <c r="AS93" i="17"/>
  <c r="BN93" i="17"/>
  <c r="AU94" i="17"/>
  <c r="BM94" i="17"/>
  <c r="BX94" i="17"/>
  <c r="BS94" i="17"/>
  <c r="CC94" i="17"/>
  <c r="CH94" i="17"/>
  <c r="BT95" i="17"/>
  <c r="BP95" i="17"/>
  <c r="BU95" i="17"/>
  <c r="CD95" i="17"/>
  <c r="BZ95" i="17"/>
  <c r="CE95" i="17"/>
  <c r="BO96" i="17"/>
  <c r="B97" i="17"/>
  <c r="BY96" i="17"/>
  <c r="C97" i="17"/>
  <c r="CG96" i="17"/>
  <c r="CF96" i="17"/>
  <c r="BV96" i="17"/>
  <c r="BW96" i="17"/>
  <c r="AT95" i="17"/>
  <c r="AQ95" i="17"/>
  <c r="AY75" i="6"/>
  <c r="AX75" i="6"/>
  <c r="AN75" i="6"/>
  <c r="AO75" i="6"/>
  <c r="U75" i="6"/>
  <c r="T75" i="6"/>
  <c r="K75" i="6"/>
  <c r="J75" i="6"/>
  <c r="AD75" i="6"/>
  <c r="AE75" i="6"/>
  <c r="AU74" i="6"/>
  <c r="W95" i="17"/>
  <c r="M95" i="17"/>
  <c r="R95" i="17"/>
  <c r="AK74" i="6"/>
  <c r="AU75" i="6"/>
  <c r="D97" i="17"/>
  <c r="E97" i="17"/>
  <c r="N97" i="17"/>
  <c r="O97" i="17"/>
  <c r="H95" i="17"/>
  <c r="J96" i="17"/>
  <c r="I96" i="17"/>
  <c r="L97" i="17"/>
  <c r="V97" i="17"/>
  <c r="K97" i="17"/>
  <c r="U97" i="17"/>
  <c r="T96" i="17"/>
  <c r="S96" i="17"/>
  <c r="DX94" i="17"/>
  <c r="DY94" i="17"/>
  <c r="DD94" i="17"/>
  <c r="DB95" i="17"/>
  <c r="DX95" i="17"/>
  <c r="DF95" i="17"/>
  <c r="DE96" i="17"/>
  <c r="X97" i="17"/>
  <c r="Y97" i="17" s="1"/>
  <c r="CI97" i="17"/>
  <c r="CJ97" i="17" s="1"/>
  <c r="AM75" i="6"/>
  <c r="AC74" i="6"/>
  <c r="AF74" i="6"/>
  <c r="S74" i="6"/>
  <c r="Q75" i="6"/>
  <c r="G74" i="6"/>
  <c r="G75" i="6"/>
  <c r="AA75" i="6"/>
  <c r="AZ74" i="6"/>
  <c r="AP74" i="6"/>
  <c r="AL75" i="6"/>
  <c r="L74" i="6"/>
  <c r="V74" i="6"/>
  <c r="AB75" i="6"/>
  <c r="BA76" i="6"/>
  <c r="BB76" i="6" s="1"/>
  <c r="W76" i="6"/>
  <c r="X76" i="6" s="1"/>
  <c r="AQ76" i="6"/>
  <c r="AR76" i="6" s="1"/>
  <c r="AG76" i="6"/>
  <c r="AH76" i="6" s="1"/>
  <c r="A77" i="6"/>
  <c r="C76" i="6"/>
  <c r="D76" i="6"/>
  <c r="M76" i="6"/>
  <c r="N76" i="6"/>
  <c r="B94" i="6"/>
  <c r="BI93" i="6"/>
  <c r="BH93" i="6"/>
  <c r="BJ74" i="6"/>
  <c r="R75" i="6"/>
  <c r="BE74" i="6"/>
  <c r="H75" i="6"/>
  <c r="AV75" i="6"/>
  <c r="BF75" i="6"/>
  <c r="BG75" i="6"/>
  <c r="AS94" i="17"/>
  <c r="BN94" i="17"/>
  <c r="AU95" i="17"/>
  <c r="BM95" i="17"/>
  <c r="B98" i="17"/>
  <c r="BY97" i="17"/>
  <c r="BO97" i="17"/>
  <c r="BP96" i="17"/>
  <c r="BU96" i="17"/>
  <c r="BT96" i="17"/>
  <c r="BS95" i="17"/>
  <c r="CF97" i="17"/>
  <c r="BV97" i="17"/>
  <c r="C98" i="17"/>
  <c r="BW97" i="17"/>
  <c r="CG97" i="17"/>
  <c r="BX95" i="17"/>
  <c r="BZ96" i="17"/>
  <c r="CE96" i="17"/>
  <c r="CD96" i="17"/>
  <c r="AQ96" i="17"/>
  <c r="AT96" i="17"/>
  <c r="CC95" i="17"/>
  <c r="CH95" i="17"/>
  <c r="AO76" i="6"/>
  <c r="AN76" i="6"/>
  <c r="AY76" i="6"/>
  <c r="AX76" i="6"/>
  <c r="AD76" i="6"/>
  <c r="T76" i="6"/>
  <c r="J76" i="6"/>
  <c r="U76" i="6"/>
  <c r="K76" i="6"/>
  <c r="AE76" i="6"/>
  <c r="AW75" i="6"/>
  <c r="AZ75" i="6"/>
  <c r="DY95" i="17"/>
  <c r="W96" i="17"/>
  <c r="M96" i="17"/>
  <c r="H96" i="17"/>
  <c r="AK75" i="6"/>
  <c r="AU76" i="6"/>
  <c r="DD95" i="17"/>
  <c r="R96" i="17"/>
  <c r="L98" i="17"/>
  <c r="U98" i="17"/>
  <c r="K98" i="17"/>
  <c r="V98" i="17"/>
  <c r="D98" i="17"/>
  <c r="E98" i="17"/>
  <c r="N98" i="17"/>
  <c r="O98" i="17"/>
  <c r="T97" i="17"/>
  <c r="S97" i="17"/>
  <c r="J97" i="17"/>
  <c r="I97" i="17"/>
  <c r="DB96" i="17"/>
  <c r="DX96" i="17"/>
  <c r="DF96" i="17"/>
  <c r="DE97" i="17"/>
  <c r="X98" i="17"/>
  <c r="Y98" i="17" s="1"/>
  <c r="CI98" i="17"/>
  <c r="CJ98" i="17" s="1"/>
  <c r="AK76" i="6"/>
  <c r="AC75" i="6"/>
  <c r="AF75" i="6"/>
  <c r="S75" i="6"/>
  <c r="V75" i="6"/>
  <c r="I75" i="6"/>
  <c r="L75" i="6"/>
  <c r="AA76" i="6"/>
  <c r="Q76" i="6"/>
  <c r="I76" i="6"/>
  <c r="AP75" i="6"/>
  <c r="AV76" i="6"/>
  <c r="H76" i="6"/>
  <c r="AB76" i="6"/>
  <c r="R76" i="6"/>
  <c r="B95" i="6"/>
  <c r="BI94" i="6"/>
  <c r="BH94" i="6"/>
  <c r="BA77" i="6"/>
  <c r="BB77" i="6" s="1"/>
  <c r="AG77" i="6"/>
  <c r="AH77" i="6" s="1"/>
  <c r="AQ77" i="6"/>
  <c r="AR77" i="6" s="1"/>
  <c r="A78" i="6"/>
  <c r="M77" i="6"/>
  <c r="N77" i="6"/>
  <c r="C77" i="6"/>
  <c r="D77" i="6"/>
  <c r="W77" i="6"/>
  <c r="X77" i="6" s="1"/>
  <c r="BJ75" i="6"/>
  <c r="BE75" i="6"/>
  <c r="AL76" i="6"/>
  <c r="BG76" i="6"/>
  <c r="BF76" i="6"/>
  <c r="AS95" i="17"/>
  <c r="BN95" i="17"/>
  <c r="AU96" i="17"/>
  <c r="BM96" i="17"/>
  <c r="CH96" i="17"/>
  <c r="CC96" i="17"/>
  <c r="CF98" i="17"/>
  <c r="BV98" i="17"/>
  <c r="C99" i="17"/>
  <c r="BW98" i="17"/>
  <c r="CG98" i="17"/>
  <c r="BS96" i="17"/>
  <c r="AT97" i="17"/>
  <c r="AQ97" i="17"/>
  <c r="BP97" i="17"/>
  <c r="BU97" i="17"/>
  <c r="BT97" i="17"/>
  <c r="BZ97" i="17"/>
  <c r="CE97" i="17"/>
  <c r="CD97" i="17"/>
  <c r="B99" i="17"/>
  <c r="BO98" i="17"/>
  <c r="BY98" i="17"/>
  <c r="BX96" i="17"/>
  <c r="AX77" i="6"/>
  <c r="AY77" i="6"/>
  <c r="AO77" i="6"/>
  <c r="AN77" i="6"/>
  <c r="AD77" i="6"/>
  <c r="U77" i="6"/>
  <c r="T77" i="6"/>
  <c r="AE77" i="6"/>
  <c r="J77" i="6"/>
  <c r="K77" i="6"/>
  <c r="AW76" i="6"/>
  <c r="AZ76" i="6"/>
  <c r="DY96" i="17"/>
  <c r="H97" i="17"/>
  <c r="M97" i="17"/>
  <c r="R97" i="17"/>
  <c r="AM76" i="6"/>
  <c r="AP76" i="6"/>
  <c r="AU77" i="6"/>
  <c r="S98" i="17"/>
  <c r="T98" i="17"/>
  <c r="D99" i="17"/>
  <c r="E99" i="17"/>
  <c r="N99" i="17"/>
  <c r="O99" i="17"/>
  <c r="J98" i="17"/>
  <c r="I98" i="17"/>
  <c r="K99" i="17"/>
  <c r="U99" i="17"/>
  <c r="L99" i="17"/>
  <c r="V99" i="17"/>
  <c r="W97" i="17"/>
  <c r="DE98" i="17"/>
  <c r="DB97" i="17"/>
  <c r="DX97" i="17"/>
  <c r="DF97" i="17"/>
  <c r="X99" i="17"/>
  <c r="Y99" i="17" s="1"/>
  <c r="CI99" i="17"/>
  <c r="CJ99" i="17" s="1"/>
  <c r="DD96" i="17"/>
  <c r="AK77" i="6"/>
  <c r="AC76" i="6"/>
  <c r="AF76" i="6"/>
  <c r="Q77" i="6"/>
  <c r="G76" i="6"/>
  <c r="S76" i="6"/>
  <c r="V76" i="6"/>
  <c r="AA77" i="6"/>
  <c r="G77" i="6"/>
  <c r="AV77" i="6"/>
  <c r="L76" i="6"/>
  <c r="H77" i="6"/>
  <c r="AB77" i="6"/>
  <c r="AL77" i="6"/>
  <c r="BA78" i="6"/>
  <c r="BB78" i="6" s="1"/>
  <c r="AG78" i="6"/>
  <c r="AH78" i="6" s="1"/>
  <c r="AQ78" i="6"/>
  <c r="AR78" i="6" s="1"/>
  <c r="W78" i="6"/>
  <c r="X78" i="6" s="1"/>
  <c r="A79" i="6"/>
  <c r="M78" i="6"/>
  <c r="N78" i="6"/>
  <c r="C78" i="6"/>
  <c r="D78" i="6"/>
  <c r="BF77" i="6"/>
  <c r="BG77" i="6"/>
  <c r="BJ76" i="6"/>
  <c r="R77" i="6"/>
  <c r="BE76" i="6"/>
  <c r="B96" i="6"/>
  <c r="BI95" i="6"/>
  <c r="BH95" i="6"/>
  <c r="AS96" i="17"/>
  <c r="BN96" i="17"/>
  <c r="AU97" i="17"/>
  <c r="BM97" i="17"/>
  <c r="CC97" i="17"/>
  <c r="CD98" i="17"/>
  <c r="BZ98" i="17"/>
  <c r="CE98" i="17"/>
  <c r="CH97" i="17"/>
  <c r="C100" i="17"/>
  <c r="BW99" i="17"/>
  <c r="CG99" i="17"/>
  <c r="CF99" i="17"/>
  <c r="BV99" i="17"/>
  <c r="BT98" i="17"/>
  <c r="BP98" i="17"/>
  <c r="BU98" i="17"/>
  <c r="BX97" i="17"/>
  <c r="AT98" i="17"/>
  <c r="AQ98" i="17"/>
  <c r="AS97" i="17"/>
  <c r="BS97" i="17"/>
  <c r="B100" i="17"/>
  <c r="BY99" i="17"/>
  <c r="BO99" i="17"/>
  <c r="AY78" i="6"/>
  <c r="AX78" i="6"/>
  <c r="AO78" i="6"/>
  <c r="AN78" i="6"/>
  <c r="AD78" i="6"/>
  <c r="U78" i="6"/>
  <c r="T78" i="6"/>
  <c r="J78" i="6"/>
  <c r="K78" i="6"/>
  <c r="AE78" i="6"/>
  <c r="DD97" i="17"/>
  <c r="DY97" i="17"/>
  <c r="AU78" i="6"/>
  <c r="AW77" i="6"/>
  <c r="AZ77" i="6"/>
  <c r="M98" i="17"/>
  <c r="H98" i="17"/>
  <c r="K100" i="17"/>
  <c r="U100" i="17"/>
  <c r="L100" i="17"/>
  <c r="V100" i="17"/>
  <c r="S99" i="17"/>
  <c r="T99" i="17"/>
  <c r="I99" i="17"/>
  <c r="J99" i="17"/>
  <c r="R98" i="17"/>
  <c r="D100" i="17"/>
  <c r="E100" i="17"/>
  <c r="N100" i="17"/>
  <c r="O100" i="17"/>
  <c r="W98" i="17"/>
  <c r="X100" i="17"/>
  <c r="Y100" i="17" s="1"/>
  <c r="CI100" i="17"/>
  <c r="CJ100" i="17" s="1"/>
  <c r="DB98" i="17"/>
  <c r="DX98" i="17"/>
  <c r="DF98" i="17"/>
  <c r="DE99" i="17"/>
  <c r="AM77" i="6"/>
  <c r="AP77" i="6"/>
  <c r="AK78" i="6"/>
  <c r="AL78" i="6"/>
  <c r="S77" i="6"/>
  <c r="V77" i="6"/>
  <c r="I77" i="6"/>
  <c r="L77" i="6"/>
  <c r="G78" i="6"/>
  <c r="AC77" i="6"/>
  <c r="AF77" i="6"/>
  <c r="AC78" i="6"/>
  <c r="S78" i="6"/>
  <c r="H78" i="6"/>
  <c r="AV78" i="6"/>
  <c r="AB78" i="6"/>
  <c r="BA79" i="6"/>
  <c r="BB79" i="6" s="1"/>
  <c r="AQ79" i="6"/>
  <c r="AR79" i="6" s="1"/>
  <c r="AG79" i="6"/>
  <c r="AH79" i="6" s="1"/>
  <c r="W79" i="6"/>
  <c r="X79" i="6" s="1"/>
  <c r="M79" i="6"/>
  <c r="N79" i="6"/>
  <c r="A80" i="6"/>
  <c r="C79" i="6"/>
  <c r="D79" i="6"/>
  <c r="B97" i="6"/>
  <c r="BI96" i="6"/>
  <c r="BH96" i="6"/>
  <c r="BJ77" i="6"/>
  <c r="R78" i="6"/>
  <c r="BE77" i="6"/>
  <c r="BF78" i="6"/>
  <c r="BG78" i="6"/>
  <c r="BN97" i="17"/>
  <c r="AU98" i="17"/>
  <c r="BM98" i="17"/>
  <c r="CC98" i="17"/>
  <c r="AQ99" i="17"/>
  <c r="AT99" i="17"/>
  <c r="BP99" i="17"/>
  <c r="BU99" i="17"/>
  <c r="BT99" i="17"/>
  <c r="C101" i="17"/>
  <c r="BW100" i="17"/>
  <c r="CF100" i="17"/>
  <c r="CG100" i="17"/>
  <c r="BV100" i="17"/>
  <c r="BZ99" i="17"/>
  <c r="CE99" i="17"/>
  <c r="CD99" i="17"/>
  <c r="BY100" i="17"/>
  <c r="BO100" i="17"/>
  <c r="B101" i="17"/>
  <c r="BX98" i="17"/>
  <c r="BS98" i="17"/>
  <c r="CH98" i="17"/>
  <c r="AY79" i="6"/>
  <c r="AN79" i="6"/>
  <c r="AX79" i="6"/>
  <c r="AO79" i="6"/>
  <c r="U79" i="6"/>
  <c r="AE79" i="6"/>
  <c r="J79" i="6"/>
  <c r="K79" i="6"/>
  <c r="AD79" i="6"/>
  <c r="T79" i="6"/>
  <c r="DY98" i="17"/>
  <c r="W99" i="17"/>
  <c r="AW78" i="6"/>
  <c r="AZ78" i="6"/>
  <c r="AU79" i="6"/>
  <c r="K101" i="17"/>
  <c r="U101" i="17"/>
  <c r="L101" i="17"/>
  <c r="V101" i="17"/>
  <c r="H99" i="17"/>
  <c r="J100" i="17"/>
  <c r="I100" i="17"/>
  <c r="T100" i="17"/>
  <c r="S100" i="17"/>
  <c r="M99" i="17"/>
  <c r="DD98" i="17"/>
  <c r="R99" i="17"/>
  <c r="D101" i="17"/>
  <c r="E101" i="17"/>
  <c r="N101" i="17"/>
  <c r="O101" i="17"/>
  <c r="DB99" i="17"/>
  <c r="DX99" i="17"/>
  <c r="DF99" i="17"/>
  <c r="X101" i="17"/>
  <c r="Y101" i="17" s="1"/>
  <c r="CI101" i="17"/>
  <c r="CJ101" i="17" s="1"/>
  <c r="DE100" i="17"/>
  <c r="AK79" i="6"/>
  <c r="AM78" i="6"/>
  <c r="AP78" i="6"/>
  <c r="Q79" i="6"/>
  <c r="Q78" i="6"/>
  <c r="AA78" i="6"/>
  <c r="I78" i="6"/>
  <c r="L78" i="6"/>
  <c r="AC79" i="6"/>
  <c r="G79" i="6"/>
  <c r="H79" i="6"/>
  <c r="AV79" i="6"/>
  <c r="AL79" i="6"/>
  <c r="V78" i="6"/>
  <c r="AF78" i="6"/>
  <c r="AB79" i="6"/>
  <c r="BA80" i="6"/>
  <c r="BB80" i="6" s="1"/>
  <c r="AG80" i="6"/>
  <c r="AH80" i="6" s="1"/>
  <c r="A81" i="6"/>
  <c r="AQ80" i="6"/>
  <c r="AR80" i="6" s="1"/>
  <c r="M80" i="6"/>
  <c r="N80" i="6"/>
  <c r="C80" i="6"/>
  <c r="D80" i="6"/>
  <c r="W80" i="6"/>
  <c r="X80" i="6" s="1"/>
  <c r="R79" i="6"/>
  <c r="B98" i="6"/>
  <c r="BI97" i="6"/>
  <c r="BH97" i="6"/>
  <c r="BF79" i="6"/>
  <c r="BG79" i="6"/>
  <c r="BJ78" i="6"/>
  <c r="BE78" i="6"/>
  <c r="AS98" i="17"/>
  <c r="BN98" i="17"/>
  <c r="AU99" i="17"/>
  <c r="BM99" i="17"/>
  <c r="BS99" i="17"/>
  <c r="BX99" i="17"/>
  <c r="CC99" i="17"/>
  <c r="CH99" i="17"/>
  <c r="BZ100" i="17"/>
  <c r="CE100" i="17"/>
  <c r="CD100" i="17"/>
  <c r="BY101" i="17"/>
  <c r="BO101" i="17"/>
  <c r="B102" i="17"/>
  <c r="BP100" i="17"/>
  <c r="BU100" i="17"/>
  <c r="BT100" i="17"/>
  <c r="CF101" i="17"/>
  <c r="BV101" i="17"/>
  <c r="BW101" i="17"/>
  <c r="C102" i="17"/>
  <c r="CG101" i="17"/>
  <c r="AQ100" i="17"/>
  <c r="AT100" i="17"/>
  <c r="AY80" i="6"/>
  <c r="AO80" i="6"/>
  <c r="AX80" i="6"/>
  <c r="AN80" i="6"/>
  <c r="U80" i="6"/>
  <c r="K80" i="6"/>
  <c r="AD80" i="6"/>
  <c r="J80" i="6"/>
  <c r="AE80" i="6"/>
  <c r="T80" i="6"/>
  <c r="DY99" i="17"/>
  <c r="M100" i="17"/>
  <c r="R100" i="17"/>
  <c r="AW79" i="6"/>
  <c r="AZ79" i="6"/>
  <c r="AU80" i="6"/>
  <c r="J101" i="17"/>
  <c r="I101" i="17"/>
  <c r="D102" i="17"/>
  <c r="E102" i="17"/>
  <c r="N102" i="17"/>
  <c r="O102" i="17"/>
  <c r="W100" i="17"/>
  <c r="H100" i="17"/>
  <c r="K102" i="17"/>
  <c r="U102" i="17"/>
  <c r="L102" i="17"/>
  <c r="V102" i="17"/>
  <c r="T101" i="17"/>
  <c r="S101" i="17"/>
  <c r="DE101" i="17"/>
  <c r="X102" i="17"/>
  <c r="Y102" i="17" s="1"/>
  <c r="CI102" i="17"/>
  <c r="CJ102" i="17" s="1"/>
  <c r="DB100" i="17"/>
  <c r="DX100" i="17"/>
  <c r="DF100" i="17"/>
  <c r="DD99" i="17"/>
  <c r="AM79" i="6"/>
  <c r="AK80" i="6"/>
  <c r="S79" i="6"/>
  <c r="I79" i="6"/>
  <c r="L79" i="6"/>
  <c r="G80" i="6"/>
  <c r="AA79" i="6"/>
  <c r="Q80" i="6"/>
  <c r="AC80" i="6"/>
  <c r="AP79" i="6"/>
  <c r="AL80" i="6"/>
  <c r="AV80" i="6"/>
  <c r="V79" i="6"/>
  <c r="AF79" i="6"/>
  <c r="R80" i="6"/>
  <c r="BA81" i="6"/>
  <c r="BB81" i="6" s="1"/>
  <c r="AQ81" i="6"/>
  <c r="AR81" i="6" s="1"/>
  <c r="A82" i="6"/>
  <c r="M81" i="6"/>
  <c r="N81" i="6"/>
  <c r="C81" i="6"/>
  <c r="D81" i="6"/>
  <c r="W81" i="6"/>
  <c r="X81" i="6" s="1"/>
  <c r="AG81" i="6"/>
  <c r="AH81" i="6" s="1"/>
  <c r="BJ79" i="6"/>
  <c r="BE79" i="6"/>
  <c r="AB80" i="6"/>
  <c r="H80" i="6"/>
  <c r="B99" i="6"/>
  <c r="BI98" i="6"/>
  <c r="BH98" i="6"/>
  <c r="BF80" i="6"/>
  <c r="BG80" i="6"/>
  <c r="AS99" i="17"/>
  <c r="BN99" i="17"/>
  <c r="AU100" i="17"/>
  <c r="BM100" i="17"/>
  <c r="BS100" i="17"/>
  <c r="BX100" i="17"/>
  <c r="CC100" i="17"/>
  <c r="AQ101" i="17"/>
  <c r="AT101" i="17"/>
  <c r="BY102" i="17"/>
  <c r="BO102" i="17"/>
  <c r="B103" i="17"/>
  <c r="BP101" i="17"/>
  <c r="BU101" i="17"/>
  <c r="BT101" i="17"/>
  <c r="CF102" i="17"/>
  <c r="BV102" i="17"/>
  <c r="CG102" i="17"/>
  <c r="C103" i="17"/>
  <c r="BW102" i="17"/>
  <c r="BZ101" i="17"/>
  <c r="CE101" i="17"/>
  <c r="CD101" i="17"/>
  <c r="CH100" i="17"/>
  <c r="AX81" i="6"/>
  <c r="AO81" i="6"/>
  <c r="AN81" i="6"/>
  <c r="AY81" i="6"/>
  <c r="J81" i="6"/>
  <c r="K81" i="6"/>
  <c r="AD81" i="6"/>
  <c r="AE81" i="6"/>
  <c r="U81" i="6"/>
  <c r="T81" i="6"/>
  <c r="AW80" i="6"/>
  <c r="DY100" i="17"/>
  <c r="M101" i="17"/>
  <c r="W101" i="17"/>
  <c r="R101" i="17"/>
  <c r="AU81" i="6"/>
  <c r="T102" i="17"/>
  <c r="S102" i="17"/>
  <c r="J102" i="17"/>
  <c r="I102" i="17"/>
  <c r="H101" i="17"/>
  <c r="D103" i="17"/>
  <c r="E103" i="17"/>
  <c r="N103" i="17"/>
  <c r="O103" i="17"/>
  <c r="K103" i="17"/>
  <c r="U103" i="17"/>
  <c r="L103" i="17"/>
  <c r="V103" i="17"/>
  <c r="DE102" i="17"/>
  <c r="X103" i="17"/>
  <c r="Y103" i="17" s="1"/>
  <c r="CI103" i="17"/>
  <c r="CJ103" i="17" s="1"/>
  <c r="DB101" i="17"/>
  <c r="DX101" i="17"/>
  <c r="DF101" i="17"/>
  <c r="DD100" i="17"/>
  <c r="AM80" i="6"/>
  <c r="AP80" i="6"/>
  <c r="AK81" i="6"/>
  <c r="I80" i="6"/>
  <c r="L80" i="6"/>
  <c r="S80" i="6"/>
  <c r="V80" i="6"/>
  <c r="AA81" i="6"/>
  <c r="G81" i="6"/>
  <c r="AA80" i="6"/>
  <c r="S81" i="6"/>
  <c r="H81" i="6"/>
  <c r="AZ80" i="6"/>
  <c r="AV81" i="6"/>
  <c r="AF80" i="6"/>
  <c r="BJ80" i="6"/>
  <c r="BA82" i="6"/>
  <c r="BB82" i="6" s="1"/>
  <c r="W82" i="6"/>
  <c r="X82" i="6" s="1"/>
  <c r="M82" i="6"/>
  <c r="N82" i="6"/>
  <c r="A83" i="6"/>
  <c r="C82" i="6"/>
  <c r="D82" i="6"/>
  <c r="AG82" i="6"/>
  <c r="AH82" i="6" s="1"/>
  <c r="AQ82" i="6"/>
  <c r="AR82" i="6" s="1"/>
  <c r="BE80" i="6"/>
  <c r="AL81" i="6"/>
  <c r="BF81" i="6"/>
  <c r="BG81" i="6"/>
  <c r="B100" i="6"/>
  <c r="BI99" i="6"/>
  <c r="BH99" i="6"/>
  <c r="R81" i="6"/>
  <c r="AB81" i="6"/>
  <c r="BN100" i="17"/>
  <c r="AS100" i="17"/>
  <c r="AU101" i="17"/>
  <c r="BM101" i="17"/>
  <c r="BS101" i="17"/>
  <c r="BX101" i="17"/>
  <c r="CC101" i="17"/>
  <c r="CH101" i="17"/>
  <c r="CD102" i="17"/>
  <c r="BZ102" i="17"/>
  <c r="CE102" i="17"/>
  <c r="BT102" i="17"/>
  <c r="BP102" i="17"/>
  <c r="BU102" i="17"/>
  <c r="AT102" i="17"/>
  <c r="AQ102" i="17"/>
  <c r="C104" i="17"/>
  <c r="BW103" i="17"/>
  <c r="CF103" i="17"/>
  <c r="CG103" i="17"/>
  <c r="BV103" i="17"/>
  <c r="B104" i="17"/>
  <c r="BY103" i="17"/>
  <c r="BO103" i="17"/>
  <c r="AY82" i="6"/>
  <c r="AX82" i="6"/>
  <c r="AO82" i="6"/>
  <c r="AN82" i="6"/>
  <c r="K82" i="6"/>
  <c r="AD82" i="6"/>
  <c r="AE82" i="6"/>
  <c r="J82" i="6"/>
  <c r="U82" i="6"/>
  <c r="T82" i="6"/>
  <c r="AW81" i="6"/>
  <c r="AZ81" i="6"/>
  <c r="DY101" i="17"/>
  <c r="W102" i="17"/>
  <c r="AU82" i="6"/>
  <c r="M102" i="17"/>
  <c r="H102" i="17"/>
  <c r="K104" i="17"/>
  <c r="U104" i="17"/>
  <c r="L104" i="17"/>
  <c r="V104" i="17"/>
  <c r="R102" i="17"/>
  <c r="T103" i="17"/>
  <c r="S103" i="17"/>
  <c r="D104" i="17"/>
  <c r="E104" i="17"/>
  <c r="N104" i="17"/>
  <c r="O104" i="17"/>
  <c r="J103" i="17"/>
  <c r="I103" i="17"/>
  <c r="DE103" i="17"/>
  <c r="DB102" i="17"/>
  <c r="DX102" i="17"/>
  <c r="DF102" i="17"/>
  <c r="X104" i="17"/>
  <c r="Y104" i="17" s="1"/>
  <c r="CI104" i="17"/>
  <c r="CJ104" i="17" s="1"/>
  <c r="DD101" i="17"/>
  <c r="AK82" i="6"/>
  <c r="AM81" i="6"/>
  <c r="AP81" i="6"/>
  <c r="AC81" i="6"/>
  <c r="AF81" i="6"/>
  <c r="Q81" i="6"/>
  <c r="G82" i="6"/>
  <c r="I81" i="6"/>
  <c r="L81" i="6"/>
  <c r="Q82" i="6"/>
  <c r="AC82" i="6"/>
  <c r="V81" i="6"/>
  <c r="AV82" i="6"/>
  <c r="H82" i="6"/>
  <c r="R82" i="6"/>
  <c r="AB82" i="6"/>
  <c r="BJ81" i="6"/>
  <c r="BE81" i="6"/>
  <c r="BA83" i="6"/>
  <c r="BB83" i="6" s="1"/>
  <c r="AG83" i="6"/>
  <c r="AH83" i="6" s="1"/>
  <c r="W83" i="6"/>
  <c r="X83" i="6" s="1"/>
  <c r="A84" i="6"/>
  <c r="C83" i="6"/>
  <c r="D83" i="6"/>
  <c r="M83" i="6"/>
  <c r="N83" i="6"/>
  <c r="AQ83" i="6"/>
  <c r="AR83" i="6" s="1"/>
  <c r="AL82" i="6"/>
  <c r="B101" i="6"/>
  <c r="BI100" i="6"/>
  <c r="BH100" i="6"/>
  <c r="BF82" i="6"/>
  <c r="BG82" i="6"/>
  <c r="AS101" i="17"/>
  <c r="BN101" i="17"/>
  <c r="AU102" i="17"/>
  <c r="BM102" i="17"/>
  <c r="BX102" i="17"/>
  <c r="CC102" i="17"/>
  <c r="BS102" i="17"/>
  <c r="CF104" i="17"/>
  <c r="BV104" i="17"/>
  <c r="C105" i="17"/>
  <c r="CG104" i="17"/>
  <c r="BW104" i="17"/>
  <c r="BY104" i="17"/>
  <c r="BO104" i="17"/>
  <c r="B105" i="17"/>
  <c r="BP103" i="17"/>
  <c r="BU103" i="17"/>
  <c r="BT103" i="17"/>
  <c r="AQ103" i="17"/>
  <c r="AT103" i="17"/>
  <c r="BZ103" i="17"/>
  <c r="CE103" i="17"/>
  <c r="CD103" i="17"/>
  <c r="CH102" i="17"/>
  <c r="AY83" i="6"/>
  <c r="AX83" i="6"/>
  <c r="AO83" i="6"/>
  <c r="AN83" i="6"/>
  <c r="AD83" i="6"/>
  <c r="K83" i="6"/>
  <c r="AE83" i="6"/>
  <c r="J83" i="6"/>
  <c r="U83" i="6"/>
  <c r="T83" i="6"/>
  <c r="DY102" i="17"/>
  <c r="M103" i="17"/>
  <c r="R103" i="17"/>
  <c r="AU83" i="6"/>
  <c r="AW82" i="6"/>
  <c r="AZ82" i="6"/>
  <c r="T104" i="17"/>
  <c r="S104" i="17"/>
  <c r="J104" i="17"/>
  <c r="I104" i="17"/>
  <c r="W103" i="17"/>
  <c r="H103" i="17"/>
  <c r="D105" i="17"/>
  <c r="E105" i="17"/>
  <c r="N105" i="17"/>
  <c r="O105" i="17"/>
  <c r="K105" i="17"/>
  <c r="U105" i="17"/>
  <c r="L105" i="17"/>
  <c r="V105" i="17"/>
  <c r="DE104" i="17"/>
  <c r="DB103" i="17"/>
  <c r="DX103" i="17"/>
  <c r="DF103" i="17"/>
  <c r="X105" i="17"/>
  <c r="Y105" i="17" s="1"/>
  <c r="CI105" i="17"/>
  <c r="CJ105" i="17" s="1"/>
  <c r="DD102" i="17"/>
  <c r="AK83" i="6"/>
  <c r="AM82" i="6"/>
  <c r="AP82" i="6"/>
  <c r="I82" i="6"/>
  <c r="L82" i="6"/>
  <c r="S82" i="6"/>
  <c r="V82" i="6"/>
  <c r="AA82" i="6"/>
  <c r="Q83" i="6"/>
  <c r="I83" i="6"/>
  <c r="AC83" i="6"/>
  <c r="AL83" i="6"/>
  <c r="AF82" i="6"/>
  <c r="R83" i="6"/>
  <c r="AB83" i="6"/>
  <c r="H83" i="6"/>
  <c r="BJ82" i="6"/>
  <c r="BA84" i="6"/>
  <c r="BB84" i="6" s="1"/>
  <c r="W84" i="6"/>
  <c r="X84" i="6" s="1"/>
  <c r="AG84" i="6"/>
  <c r="AH84" i="6" s="1"/>
  <c r="AQ84" i="6"/>
  <c r="AR84" i="6" s="1"/>
  <c r="M84" i="6"/>
  <c r="N84" i="6"/>
  <c r="C84" i="6"/>
  <c r="D84" i="6"/>
  <c r="A85" i="6"/>
  <c r="BF83" i="6"/>
  <c r="BG83" i="6"/>
  <c r="AV83" i="6"/>
  <c r="BE82" i="6"/>
  <c r="B102" i="6"/>
  <c r="BI101" i="6"/>
  <c r="BH101" i="6"/>
  <c r="AS102" i="17"/>
  <c r="BN102" i="17"/>
  <c r="AU103" i="17"/>
  <c r="BM103" i="17"/>
  <c r="CH103" i="17"/>
  <c r="BX103" i="17"/>
  <c r="BS103" i="17"/>
  <c r="BT104" i="17"/>
  <c r="BP104" i="17"/>
  <c r="BU104" i="17"/>
  <c r="CC103" i="17"/>
  <c r="B106" i="17"/>
  <c r="BO105" i="17"/>
  <c r="BY105" i="17"/>
  <c r="CF105" i="17"/>
  <c r="BV105" i="17"/>
  <c r="C106" i="17"/>
  <c r="BW105" i="17"/>
  <c r="CG105" i="17"/>
  <c r="AT104" i="17"/>
  <c r="AQ104" i="17"/>
  <c r="BZ104" i="17"/>
  <c r="CE104" i="17"/>
  <c r="CD104" i="17"/>
  <c r="AO84" i="6"/>
  <c r="AY84" i="6"/>
  <c r="AN84" i="6"/>
  <c r="AX84" i="6"/>
  <c r="U84" i="6"/>
  <c r="AE84" i="6"/>
  <c r="T84" i="6"/>
  <c r="J84" i="6"/>
  <c r="K84" i="6"/>
  <c r="AD84" i="6"/>
  <c r="DY103" i="17"/>
  <c r="H104" i="17"/>
  <c r="M104" i="17"/>
  <c r="R104" i="17"/>
  <c r="AU84" i="6"/>
  <c r="AW83" i="6"/>
  <c r="AZ83" i="6"/>
  <c r="DD103" i="17"/>
  <c r="K106" i="17"/>
  <c r="U106" i="17"/>
  <c r="L106" i="17"/>
  <c r="V106" i="17"/>
  <c r="T105" i="17"/>
  <c r="S105" i="17"/>
  <c r="W104" i="17"/>
  <c r="D106" i="17"/>
  <c r="E106" i="17"/>
  <c r="N106" i="17"/>
  <c r="O106" i="17"/>
  <c r="J105" i="17"/>
  <c r="I105" i="17"/>
  <c r="DE105" i="17"/>
  <c r="X106" i="17"/>
  <c r="Y106" i="17" s="1"/>
  <c r="CI106" i="17"/>
  <c r="CJ106" i="17" s="1"/>
  <c r="DB104" i="17"/>
  <c r="DX104" i="17"/>
  <c r="DF104" i="17"/>
  <c r="AK84" i="6"/>
  <c r="AM83" i="6"/>
  <c r="AP83" i="6"/>
  <c r="S83" i="6"/>
  <c r="V83" i="6"/>
  <c r="G84" i="6"/>
  <c r="AA83" i="6"/>
  <c r="Q84" i="6"/>
  <c r="G83" i="6"/>
  <c r="AC84" i="6"/>
  <c r="AV84" i="6"/>
  <c r="AF83" i="6"/>
  <c r="L83" i="6"/>
  <c r="AB84" i="6"/>
  <c r="AL84" i="6"/>
  <c r="BA85" i="6"/>
  <c r="BB85" i="6" s="1"/>
  <c r="C85" i="6"/>
  <c r="D85" i="6"/>
  <c r="A86" i="6"/>
  <c r="W85" i="6"/>
  <c r="X85" i="6" s="1"/>
  <c r="AG85" i="6"/>
  <c r="AH85" i="6" s="1"/>
  <c r="AQ85" i="6"/>
  <c r="AR85" i="6" s="1"/>
  <c r="M85" i="6"/>
  <c r="N85" i="6"/>
  <c r="B103" i="6"/>
  <c r="BI102" i="6"/>
  <c r="BH102" i="6"/>
  <c r="BJ83" i="6"/>
  <c r="BG84" i="6"/>
  <c r="BF84" i="6"/>
  <c r="H84" i="6"/>
  <c r="R84" i="6"/>
  <c r="BE83" i="6"/>
  <c r="AS103" i="17"/>
  <c r="BN103" i="17"/>
  <c r="AU104" i="17"/>
  <c r="BS104" i="17"/>
  <c r="BX104" i="17"/>
  <c r="CC104" i="17"/>
  <c r="C107" i="17"/>
  <c r="CG106" i="17"/>
  <c r="BV106" i="17"/>
  <c r="CF106" i="17"/>
  <c r="BW106" i="17"/>
  <c r="B107" i="17"/>
  <c r="BY106" i="17"/>
  <c r="BO106" i="17"/>
  <c r="CH104" i="17"/>
  <c r="CD105" i="17"/>
  <c r="BZ105" i="17"/>
  <c r="CE105" i="17"/>
  <c r="BT105" i="17"/>
  <c r="BP105" i="17"/>
  <c r="BU105" i="17"/>
  <c r="AT105" i="17"/>
  <c r="AQ105" i="17"/>
  <c r="AX85" i="6"/>
  <c r="AN85" i="6"/>
  <c r="AY85" i="6"/>
  <c r="AO85" i="6"/>
  <c r="AE85" i="6"/>
  <c r="T85" i="6"/>
  <c r="K85" i="6"/>
  <c r="U85" i="6"/>
  <c r="J85" i="6"/>
  <c r="AD85" i="6"/>
  <c r="AW84" i="6"/>
  <c r="DY104" i="17"/>
  <c r="M105" i="17"/>
  <c r="H105" i="17"/>
  <c r="AW85" i="6"/>
  <c r="R105" i="17"/>
  <c r="K107" i="17"/>
  <c r="U107" i="17"/>
  <c r="L107" i="17"/>
  <c r="V107" i="17"/>
  <c r="D107" i="17"/>
  <c r="E107" i="17"/>
  <c r="N107" i="17"/>
  <c r="O107" i="17"/>
  <c r="J106" i="17"/>
  <c r="I106" i="17"/>
  <c r="W105" i="17"/>
  <c r="T106" i="17"/>
  <c r="S106" i="17"/>
  <c r="DE106" i="17"/>
  <c r="X107" i="17"/>
  <c r="Y107" i="17" s="1"/>
  <c r="CI107" i="17"/>
  <c r="CJ107" i="17" s="1"/>
  <c r="DB105" i="17"/>
  <c r="DX105" i="17"/>
  <c r="DF105" i="17"/>
  <c r="DD104" i="17"/>
  <c r="AK85" i="6"/>
  <c r="AM84" i="6"/>
  <c r="AP84" i="6"/>
  <c r="S84" i="6"/>
  <c r="V84" i="6"/>
  <c r="I84" i="6"/>
  <c r="AA84" i="6"/>
  <c r="AC85" i="6"/>
  <c r="G85" i="6"/>
  <c r="Q85" i="6"/>
  <c r="AZ84" i="6"/>
  <c r="AF84" i="6"/>
  <c r="AV85" i="6"/>
  <c r="H85" i="6"/>
  <c r="AB85" i="6"/>
  <c r="L84" i="6"/>
  <c r="R85" i="6"/>
  <c r="B104" i="6"/>
  <c r="BI103" i="6"/>
  <c r="BH103" i="6"/>
  <c r="BA86" i="6"/>
  <c r="BB86" i="6" s="1"/>
  <c r="A87" i="6"/>
  <c r="M86" i="6"/>
  <c r="N86" i="6"/>
  <c r="C86" i="6"/>
  <c r="D86" i="6"/>
  <c r="AG86" i="6"/>
  <c r="AH86" i="6" s="1"/>
  <c r="AQ86" i="6"/>
  <c r="AR86" i="6" s="1"/>
  <c r="W86" i="6"/>
  <c r="X86" i="6" s="1"/>
  <c r="BE84" i="6"/>
  <c r="AL85" i="6"/>
  <c r="BJ84" i="6"/>
  <c r="BF85" i="6"/>
  <c r="BG85" i="6"/>
  <c r="AS104" i="17"/>
  <c r="BM104" i="17"/>
  <c r="BN104" i="17"/>
  <c r="AU105" i="17"/>
  <c r="BM105" i="17"/>
  <c r="BZ106" i="17"/>
  <c r="CE106" i="17"/>
  <c r="CD106" i="17"/>
  <c r="CC105" i="17"/>
  <c r="AQ106" i="17"/>
  <c r="AT106" i="17"/>
  <c r="CH105" i="17"/>
  <c r="BP106" i="17"/>
  <c r="BU106" i="17"/>
  <c r="BT106" i="17"/>
  <c r="BY107" i="17"/>
  <c r="BO107" i="17"/>
  <c r="B108" i="17"/>
  <c r="CG107" i="17"/>
  <c r="BW107" i="17"/>
  <c r="C108" i="17"/>
  <c r="CF107" i="17"/>
  <c r="BV107" i="17"/>
  <c r="BS105" i="17"/>
  <c r="BX105" i="17"/>
  <c r="AY86" i="6"/>
  <c r="AX86" i="6"/>
  <c r="AO86" i="6"/>
  <c r="AN86" i="6"/>
  <c r="T86" i="6"/>
  <c r="AD86" i="6"/>
  <c r="J86" i="6"/>
  <c r="K86" i="6"/>
  <c r="AE86" i="6"/>
  <c r="U86" i="6"/>
  <c r="AU85" i="6"/>
  <c r="DY105" i="17"/>
  <c r="M106" i="17"/>
  <c r="R106" i="17"/>
  <c r="W106" i="17"/>
  <c r="AM85" i="6"/>
  <c r="AP85" i="6"/>
  <c r="AU86" i="6"/>
  <c r="T107" i="17"/>
  <c r="S107" i="17"/>
  <c r="D108" i="17"/>
  <c r="E108" i="17"/>
  <c r="N108" i="17"/>
  <c r="O108" i="17"/>
  <c r="J107" i="17"/>
  <c r="I107" i="17"/>
  <c r="H106" i="17"/>
  <c r="K108" i="17"/>
  <c r="U108" i="17"/>
  <c r="L108" i="17"/>
  <c r="V108" i="17"/>
  <c r="X108" i="17"/>
  <c r="Y108" i="17" s="1"/>
  <c r="CI108" i="17"/>
  <c r="CJ108" i="17" s="1"/>
  <c r="DD105" i="17"/>
  <c r="DE107" i="17"/>
  <c r="DB106" i="17"/>
  <c r="DX106" i="17"/>
  <c r="DF106" i="17"/>
  <c r="AK86" i="6"/>
  <c r="I85" i="6"/>
  <c r="L85" i="6"/>
  <c r="Q86" i="6"/>
  <c r="S85" i="6"/>
  <c r="V85" i="6"/>
  <c r="AA86" i="6"/>
  <c r="AA85" i="6"/>
  <c r="I86" i="6"/>
  <c r="AZ85" i="6"/>
  <c r="R86" i="6"/>
  <c r="AV86" i="6"/>
  <c r="AF85" i="6"/>
  <c r="AL86" i="6"/>
  <c r="AB86" i="6"/>
  <c r="H86" i="6"/>
  <c r="BA87" i="6"/>
  <c r="BB87" i="6" s="1"/>
  <c r="C87" i="6"/>
  <c r="D87" i="6"/>
  <c r="AQ87" i="6"/>
  <c r="AR87" i="6" s="1"/>
  <c r="AG87" i="6"/>
  <c r="AH87" i="6" s="1"/>
  <c r="W87" i="6"/>
  <c r="X87" i="6" s="1"/>
  <c r="A88" i="6"/>
  <c r="M87" i="6"/>
  <c r="N87" i="6"/>
  <c r="BF86" i="6"/>
  <c r="BG86" i="6"/>
  <c r="BE85" i="6"/>
  <c r="BJ85" i="6"/>
  <c r="B105" i="6"/>
  <c r="BI104" i="6"/>
  <c r="BH104" i="6"/>
  <c r="AS105" i="17"/>
  <c r="BN105" i="17"/>
  <c r="AU106" i="17"/>
  <c r="BS106" i="17"/>
  <c r="BX106" i="17"/>
  <c r="BZ107" i="17"/>
  <c r="CE107" i="17"/>
  <c r="CD107" i="17"/>
  <c r="CC106" i="17"/>
  <c r="BP107" i="17"/>
  <c r="BU107" i="17"/>
  <c r="BT107" i="17"/>
  <c r="B109" i="17"/>
  <c r="BY108" i="17"/>
  <c r="BO108" i="17"/>
  <c r="CG108" i="17"/>
  <c r="BV108" i="17"/>
  <c r="CF108" i="17"/>
  <c r="BW108" i="17"/>
  <c r="C109" i="17"/>
  <c r="AQ107" i="17"/>
  <c r="AT107" i="17"/>
  <c r="CH106" i="17"/>
  <c r="AY87" i="6"/>
  <c r="AO87" i="6"/>
  <c r="AX87" i="6"/>
  <c r="AN87" i="6"/>
  <c r="AD87" i="6"/>
  <c r="T87" i="6"/>
  <c r="U87" i="6"/>
  <c r="K87" i="6"/>
  <c r="J87" i="6"/>
  <c r="AE87" i="6"/>
  <c r="AW86" i="6"/>
  <c r="AZ86" i="6"/>
  <c r="DY106" i="17"/>
  <c r="DD106" i="17"/>
  <c r="W107" i="17"/>
  <c r="AU87" i="6"/>
  <c r="T108" i="17"/>
  <c r="S108" i="17"/>
  <c r="J108" i="17"/>
  <c r="I108" i="17"/>
  <c r="K109" i="17"/>
  <c r="U109" i="17"/>
  <c r="L109" i="17"/>
  <c r="V109" i="17"/>
  <c r="R107" i="17"/>
  <c r="H107" i="17"/>
  <c r="D109" i="17"/>
  <c r="E109" i="17"/>
  <c r="N109" i="17"/>
  <c r="O109" i="17"/>
  <c r="M107" i="17"/>
  <c r="DB107" i="17"/>
  <c r="DX107" i="17"/>
  <c r="DF107" i="17"/>
  <c r="X109" i="17"/>
  <c r="Y109" i="17" s="1"/>
  <c r="CI109" i="17"/>
  <c r="CJ109" i="17" s="1"/>
  <c r="DE108" i="17"/>
  <c r="AK87" i="6"/>
  <c r="AM86" i="6"/>
  <c r="AP86" i="6"/>
  <c r="S86" i="6"/>
  <c r="V86" i="6"/>
  <c r="G86" i="6"/>
  <c r="AC86" i="6"/>
  <c r="AF86" i="6"/>
  <c r="G87" i="6"/>
  <c r="S87" i="6"/>
  <c r="AC87" i="6"/>
  <c r="H87" i="6"/>
  <c r="AV87" i="6"/>
  <c r="AL87" i="6"/>
  <c r="AB87" i="6"/>
  <c r="R87" i="6"/>
  <c r="L86" i="6"/>
  <c r="B106" i="6"/>
  <c r="BI105" i="6"/>
  <c r="BH105" i="6"/>
  <c r="BA88" i="6"/>
  <c r="BB88" i="6" s="1"/>
  <c r="W88" i="6"/>
  <c r="X88" i="6" s="1"/>
  <c r="AQ88" i="6"/>
  <c r="AR88" i="6" s="1"/>
  <c r="A89" i="6"/>
  <c r="C88" i="6"/>
  <c r="D88" i="6"/>
  <c r="M88" i="6"/>
  <c r="N88" i="6"/>
  <c r="AG88" i="6"/>
  <c r="AH88" i="6" s="1"/>
  <c r="BJ86" i="6"/>
  <c r="BE86" i="6"/>
  <c r="BF87" i="6"/>
  <c r="BG87" i="6"/>
  <c r="AS106" i="17"/>
  <c r="BM106" i="17"/>
  <c r="BN106" i="17"/>
  <c r="AU107" i="17"/>
  <c r="BM107" i="17"/>
  <c r="CC107" i="17"/>
  <c r="BX107" i="17"/>
  <c r="BT108" i="17"/>
  <c r="BP108" i="17"/>
  <c r="BU108" i="17"/>
  <c r="CD108" i="17"/>
  <c r="BZ108" i="17"/>
  <c r="CE108" i="17"/>
  <c r="AQ108" i="17"/>
  <c r="AT108" i="17"/>
  <c r="B110" i="17"/>
  <c r="BY109" i="17"/>
  <c r="BO109" i="17"/>
  <c r="C110" i="17"/>
  <c r="BV109" i="17"/>
  <c r="BW109" i="17"/>
  <c r="CG109" i="17"/>
  <c r="CF109" i="17"/>
  <c r="BS107" i="17"/>
  <c r="CH107" i="17"/>
  <c r="AY88" i="6"/>
  <c r="AN88" i="6"/>
  <c r="AX88" i="6"/>
  <c r="AO88" i="6"/>
  <c r="AE88" i="6"/>
  <c r="K88" i="6"/>
  <c r="U88" i="6"/>
  <c r="T88" i="6"/>
  <c r="AD88" i="6"/>
  <c r="J88" i="6"/>
  <c r="DY107" i="17"/>
  <c r="DD107" i="17"/>
  <c r="M108" i="17"/>
  <c r="R108" i="17"/>
  <c r="AU88" i="6"/>
  <c r="AW87" i="6"/>
  <c r="AZ87" i="6"/>
  <c r="J109" i="17"/>
  <c r="I109" i="17"/>
  <c r="H108" i="17"/>
  <c r="K110" i="17"/>
  <c r="U110" i="17"/>
  <c r="L110" i="17"/>
  <c r="V110" i="17"/>
  <c r="D110" i="17"/>
  <c r="E110" i="17"/>
  <c r="N110" i="17"/>
  <c r="O110" i="17"/>
  <c r="T109" i="17"/>
  <c r="S109" i="17"/>
  <c r="W108" i="17"/>
  <c r="DB108" i="17"/>
  <c r="DX108" i="17"/>
  <c r="DF108" i="17"/>
  <c r="X110" i="17"/>
  <c r="Y110" i="17" s="1"/>
  <c r="CI110" i="17"/>
  <c r="CJ110" i="17" s="1"/>
  <c r="DE109" i="17"/>
  <c r="AK88" i="6"/>
  <c r="AM87" i="6"/>
  <c r="AP87" i="6"/>
  <c r="AA87" i="6"/>
  <c r="Q88" i="6"/>
  <c r="AA88" i="6"/>
  <c r="G88" i="6"/>
  <c r="Q87" i="6"/>
  <c r="I87" i="6"/>
  <c r="L87" i="6"/>
  <c r="AF87" i="6"/>
  <c r="V87" i="6"/>
  <c r="R88" i="6"/>
  <c r="H88" i="6"/>
  <c r="AB88" i="6"/>
  <c r="BE87" i="6"/>
  <c r="AL88" i="6"/>
  <c r="AV88" i="6"/>
  <c r="BF88" i="6"/>
  <c r="BG88" i="6"/>
  <c r="B107" i="6"/>
  <c r="BI106" i="6"/>
  <c r="BH106" i="6"/>
  <c r="BJ87" i="6"/>
  <c r="BA89" i="6"/>
  <c r="BB89" i="6" s="1"/>
  <c r="C89" i="6"/>
  <c r="D89" i="6"/>
  <c r="A90" i="6"/>
  <c r="W89" i="6"/>
  <c r="X89" i="6" s="1"/>
  <c r="AG89" i="6"/>
  <c r="AH89" i="6" s="1"/>
  <c r="AQ89" i="6"/>
  <c r="AR89" i="6" s="1"/>
  <c r="M89" i="6"/>
  <c r="N89" i="6"/>
  <c r="AS107" i="17"/>
  <c r="BN107" i="17"/>
  <c r="AU108" i="17"/>
  <c r="BM108" i="17"/>
  <c r="CC108" i="17"/>
  <c r="CH108" i="17"/>
  <c r="BZ109" i="17"/>
  <c r="CE109" i="17"/>
  <c r="CD109" i="17"/>
  <c r="BP109" i="17"/>
  <c r="BU109" i="17"/>
  <c r="BT109" i="17"/>
  <c r="AQ109" i="17"/>
  <c r="AT109" i="17"/>
  <c r="BO110" i="17"/>
  <c r="B111" i="17"/>
  <c r="BY110" i="17"/>
  <c r="BS108" i="17"/>
  <c r="CG110" i="17"/>
  <c r="BW110" i="17"/>
  <c r="BV110" i="17"/>
  <c r="C111" i="17"/>
  <c r="CF110" i="17"/>
  <c r="BX108" i="17"/>
  <c r="AX89" i="6"/>
  <c r="AO89" i="6"/>
  <c r="AN89" i="6"/>
  <c r="AY89" i="6"/>
  <c r="U89" i="6"/>
  <c r="K89" i="6"/>
  <c r="T89" i="6"/>
  <c r="AD89" i="6"/>
  <c r="AE89" i="6"/>
  <c r="J89" i="6"/>
  <c r="AW88" i="6"/>
  <c r="AZ88" i="6"/>
  <c r="DY108" i="17"/>
  <c r="AU89" i="6"/>
  <c r="R109" i="17"/>
  <c r="D111" i="17"/>
  <c r="E111" i="17"/>
  <c r="N111" i="17"/>
  <c r="O111" i="17"/>
  <c r="W109" i="17"/>
  <c r="M109" i="17"/>
  <c r="T110" i="17"/>
  <c r="S110" i="17"/>
  <c r="H109" i="17"/>
  <c r="K111" i="17"/>
  <c r="U111" i="17"/>
  <c r="L111" i="17"/>
  <c r="V111" i="17"/>
  <c r="J110" i="17"/>
  <c r="I110" i="17"/>
  <c r="DB109" i="17"/>
  <c r="DX109" i="17"/>
  <c r="DF109" i="17"/>
  <c r="DD108" i="17"/>
  <c r="X111" i="17"/>
  <c r="Y111" i="17" s="1"/>
  <c r="CI111" i="17"/>
  <c r="CJ111" i="17" s="1"/>
  <c r="DE110" i="17"/>
  <c r="AM88" i="6"/>
  <c r="AP88" i="6"/>
  <c r="AM89" i="6"/>
  <c r="S88" i="6"/>
  <c r="V88" i="6"/>
  <c r="Q89" i="6"/>
  <c r="I88" i="6"/>
  <c r="L88" i="6"/>
  <c r="AC88" i="6"/>
  <c r="AF88" i="6"/>
  <c r="AC89" i="6"/>
  <c r="G89" i="6"/>
  <c r="H89" i="6"/>
  <c r="AV89" i="6"/>
  <c r="AB89" i="6"/>
  <c r="AW89" i="6"/>
  <c r="AL89" i="6"/>
  <c r="R89" i="6"/>
  <c r="BA90" i="6"/>
  <c r="BB90" i="6" s="1"/>
  <c r="M90" i="6"/>
  <c r="N90" i="6"/>
  <c r="C90" i="6"/>
  <c r="D90" i="6"/>
  <c r="AG90" i="6"/>
  <c r="AH90" i="6" s="1"/>
  <c r="AQ90" i="6"/>
  <c r="AR90" i="6" s="1"/>
  <c r="W90" i="6"/>
  <c r="X90" i="6" s="1"/>
  <c r="A91" i="6"/>
  <c r="B108" i="6"/>
  <c r="BI107" i="6"/>
  <c r="BH107" i="6"/>
  <c r="BF89" i="6"/>
  <c r="BG89" i="6"/>
  <c r="BJ88" i="6"/>
  <c r="BE88" i="6"/>
  <c r="AS108" i="17"/>
  <c r="BN108" i="17"/>
  <c r="AU109" i="17"/>
  <c r="BM109" i="17"/>
  <c r="CH109" i="17"/>
  <c r="BS109" i="17"/>
  <c r="CC109" i="17"/>
  <c r="BX109" i="17"/>
  <c r="BZ110" i="17"/>
  <c r="CE110" i="17"/>
  <c r="CD110" i="17"/>
  <c r="BO111" i="17"/>
  <c r="BY111" i="17"/>
  <c r="B112" i="17"/>
  <c r="C112" i="17"/>
  <c r="CF111" i="17"/>
  <c r="BV111" i="17"/>
  <c r="CG111" i="17"/>
  <c r="BW111" i="17"/>
  <c r="AT110" i="17"/>
  <c r="AQ110" i="17"/>
  <c r="BT110" i="17"/>
  <c r="BP110" i="17"/>
  <c r="BU110" i="17"/>
  <c r="AS109" i="17"/>
  <c r="AY90" i="6"/>
  <c r="AX90" i="6"/>
  <c r="AO90" i="6"/>
  <c r="AN90" i="6"/>
  <c r="AD90" i="6"/>
  <c r="T90" i="6"/>
  <c r="AE90" i="6"/>
  <c r="J90" i="6"/>
  <c r="U90" i="6"/>
  <c r="K90" i="6"/>
  <c r="DY109" i="17"/>
  <c r="H110" i="17"/>
  <c r="W110" i="17"/>
  <c r="AU90" i="6"/>
  <c r="K112" i="17"/>
  <c r="U112" i="17"/>
  <c r="L112" i="17"/>
  <c r="V112" i="17"/>
  <c r="D112" i="17"/>
  <c r="E112" i="17"/>
  <c r="N112" i="17"/>
  <c r="O112" i="17"/>
  <c r="DD109" i="17"/>
  <c r="J111" i="17"/>
  <c r="I111" i="17"/>
  <c r="T111" i="17"/>
  <c r="S111" i="17"/>
  <c r="M110" i="17"/>
  <c r="R110" i="17"/>
  <c r="DB110" i="17"/>
  <c r="DX110" i="17"/>
  <c r="DF110" i="17"/>
  <c r="X112" i="17"/>
  <c r="Y112" i="17" s="1"/>
  <c r="CI112" i="17"/>
  <c r="CJ112" i="17" s="1"/>
  <c r="DE111" i="17"/>
  <c r="AK90" i="6"/>
  <c r="AK89" i="6"/>
  <c r="Q90" i="6"/>
  <c r="G90" i="6"/>
  <c r="AA89" i="6"/>
  <c r="I89" i="6"/>
  <c r="L89" i="6"/>
  <c r="S89" i="6"/>
  <c r="V89" i="6"/>
  <c r="AA90" i="6"/>
  <c r="AF89" i="6"/>
  <c r="AZ89" i="6"/>
  <c r="AP89" i="6"/>
  <c r="AL90" i="6"/>
  <c r="AV90" i="6"/>
  <c r="H90" i="6"/>
  <c r="AB90" i="6"/>
  <c r="BA91" i="6"/>
  <c r="BB91" i="6" s="1"/>
  <c r="W91" i="6"/>
  <c r="X91" i="6" s="1"/>
  <c r="A92" i="6"/>
  <c r="AG91" i="6"/>
  <c r="AH91" i="6" s="1"/>
  <c r="M91" i="6"/>
  <c r="N91" i="6"/>
  <c r="C91" i="6"/>
  <c r="D91" i="6"/>
  <c r="AQ91" i="6"/>
  <c r="AR91" i="6" s="1"/>
  <c r="BE89" i="6"/>
  <c r="BF90" i="6"/>
  <c r="BG90" i="6"/>
  <c r="BJ89" i="6"/>
  <c r="R90" i="6"/>
  <c r="B109" i="6"/>
  <c r="BI108" i="6"/>
  <c r="BH108" i="6"/>
  <c r="BN109" i="17"/>
  <c r="AU110" i="17"/>
  <c r="BM110" i="17"/>
  <c r="CH110" i="17"/>
  <c r="AQ111" i="17"/>
  <c r="AT111" i="17"/>
  <c r="BP111" i="17"/>
  <c r="BU111" i="17"/>
  <c r="BT111" i="17"/>
  <c r="BW112" i="17"/>
  <c r="C113" i="17"/>
  <c r="BV112" i="17"/>
  <c r="CG112" i="17"/>
  <c r="CF112" i="17"/>
  <c r="BX110" i="17"/>
  <c r="B113" i="17"/>
  <c r="BO112" i="17"/>
  <c r="BY112" i="17"/>
  <c r="BS110" i="17"/>
  <c r="BZ111" i="17"/>
  <c r="CE111" i="17"/>
  <c r="CD111" i="17"/>
  <c r="CC110" i="17"/>
  <c r="AY91" i="6"/>
  <c r="AX91" i="6"/>
  <c r="AO91" i="6"/>
  <c r="AN91" i="6"/>
  <c r="AD91" i="6"/>
  <c r="K91" i="6"/>
  <c r="AE91" i="6"/>
  <c r="U91" i="6"/>
  <c r="J91" i="6"/>
  <c r="T91" i="6"/>
  <c r="DD110" i="17"/>
  <c r="DY110" i="17"/>
  <c r="W111" i="17"/>
  <c r="AU91" i="6"/>
  <c r="AW90" i="6"/>
  <c r="AZ90" i="6"/>
  <c r="T112" i="17"/>
  <c r="S112" i="17"/>
  <c r="R111" i="17"/>
  <c r="J112" i="17"/>
  <c r="I112" i="17"/>
  <c r="K113" i="17"/>
  <c r="U113" i="17"/>
  <c r="L113" i="17"/>
  <c r="V113" i="17"/>
  <c r="M111" i="17"/>
  <c r="D113" i="17"/>
  <c r="E113" i="17"/>
  <c r="N113" i="17"/>
  <c r="O113" i="17"/>
  <c r="H111" i="17"/>
  <c r="X113" i="17"/>
  <c r="Y113" i="17" s="1"/>
  <c r="CI113" i="17"/>
  <c r="CJ113" i="17" s="1"/>
  <c r="DE112" i="17"/>
  <c r="DB111" i="17"/>
  <c r="DX111" i="17"/>
  <c r="DF111" i="17"/>
  <c r="AM90" i="6"/>
  <c r="AP90" i="6"/>
  <c r="AM91" i="6"/>
  <c r="AC90" i="6"/>
  <c r="AF90" i="6"/>
  <c r="S90" i="6"/>
  <c r="V90" i="6"/>
  <c r="I90" i="6"/>
  <c r="L90" i="6"/>
  <c r="I91" i="6"/>
  <c r="Q91" i="6"/>
  <c r="AA91" i="6"/>
  <c r="AV91" i="6"/>
  <c r="AL91" i="6"/>
  <c r="AB91" i="6"/>
  <c r="BJ90" i="6"/>
  <c r="BA92" i="6"/>
  <c r="BB92" i="6" s="1"/>
  <c r="A93" i="6"/>
  <c r="M92" i="6"/>
  <c r="N92" i="6"/>
  <c r="C92" i="6"/>
  <c r="D92" i="6"/>
  <c r="AQ92" i="6"/>
  <c r="AR92" i="6" s="1"/>
  <c r="W92" i="6"/>
  <c r="X92" i="6" s="1"/>
  <c r="AG92" i="6"/>
  <c r="AH92" i="6" s="1"/>
  <c r="B110" i="6"/>
  <c r="BI109" i="6"/>
  <c r="BH109" i="6"/>
  <c r="H91" i="6"/>
  <c r="BE90" i="6"/>
  <c r="R91" i="6"/>
  <c r="BF91" i="6"/>
  <c r="BG91" i="6"/>
  <c r="AS110" i="17"/>
  <c r="BN110" i="17"/>
  <c r="AU111" i="17"/>
  <c r="BX111" i="17"/>
  <c r="BS111" i="17"/>
  <c r="CD112" i="17"/>
  <c r="BZ112" i="17"/>
  <c r="CE112" i="17"/>
  <c r="CC111" i="17"/>
  <c r="BT112" i="17"/>
  <c r="BP112" i="17"/>
  <c r="BU112" i="17"/>
  <c r="B114" i="17"/>
  <c r="BY113" i="17"/>
  <c r="BO113" i="17"/>
  <c r="AT112" i="17"/>
  <c r="AQ112" i="17"/>
  <c r="CF113" i="17"/>
  <c r="BV113" i="17"/>
  <c r="C114" i="17"/>
  <c r="CG113" i="17"/>
  <c r="BW113" i="17"/>
  <c r="CH111" i="17"/>
  <c r="AN92" i="6"/>
  <c r="AO92" i="6"/>
  <c r="AY92" i="6"/>
  <c r="AX92" i="6"/>
  <c r="U92" i="6"/>
  <c r="J92" i="6"/>
  <c r="AE92" i="6"/>
  <c r="T92" i="6"/>
  <c r="K92" i="6"/>
  <c r="AD92" i="6"/>
  <c r="AW91" i="6"/>
  <c r="DY111" i="17"/>
  <c r="H112" i="17"/>
  <c r="AW92" i="6"/>
  <c r="K114" i="17"/>
  <c r="U114" i="17"/>
  <c r="L114" i="17"/>
  <c r="V114" i="17"/>
  <c r="M112" i="17"/>
  <c r="T113" i="17"/>
  <c r="S113" i="17"/>
  <c r="J113" i="17"/>
  <c r="I113" i="17"/>
  <c r="W112" i="17"/>
  <c r="D114" i="17"/>
  <c r="E114" i="17"/>
  <c r="N114" i="17"/>
  <c r="O114" i="17"/>
  <c r="R112" i="17"/>
  <c r="DD111" i="17"/>
  <c r="X114" i="17"/>
  <c r="Y114" i="17" s="1"/>
  <c r="CI114" i="17"/>
  <c r="CJ114" i="17" s="1"/>
  <c r="DE113" i="17"/>
  <c r="DB112" i="17"/>
  <c r="DX112" i="17"/>
  <c r="DF112" i="17"/>
  <c r="AK91" i="6"/>
  <c r="AK92" i="6"/>
  <c r="S91" i="6"/>
  <c r="V91" i="6"/>
  <c r="AC91" i="6"/>
  <c r="AF91" i="6"/>
  <c r="G92" i="6"/>
  <c r="S92" i="6"/>
  <c r="G91" i="6"/>
  <c r="AA92" i="6"/>
  <c r="AZ91" i="6"/>
  <c r="R92" i="6"/>
  <c r="AP91" i="6"/>
  <c r="H92" i="6"/>
  <c r="L91" i="6"/>
  <c r="AL92" i="6"/>
  <c r="AB92" i="6"/>
  <c r="AV92" i="6"/>
  <c r="BJ91" i="6"/>
  <c r="B111" i="6"/>
  <c r="BI110" i="6"/>
  <c r="BH110" i="6"/>
  <c r="BA93" i="6"/>
  <c r="BB93" i="6" s="1"/>
  <c r="AQ93" i="6"/>
  <c r="AR93" i="6" s="1"/>
  <c r="A94" i="6"/>
  <c r="C93" i="6"/>
  <c r="D93" i="6"/>
  <c r="M93" i="6"/>
  <c r="N93" i="6"/>
  <c r="W93" i="6"/>
  <c r="X93" i="6" s="1"/>
  <c r="AG93" i="6"/>
  <c r="AH93" i="6" s="1"/>
  <c r="BG92" i="6"/>
  <c r="BF92" i="6"/>
  <c r="BE91" i="6"/>
  <c r="AS111" i="17"/>
  <c r="BM111" i="17"/>
  <c r="BN111" i="17"/>
  <c r="AU112" i="17"/>
  <c r="BM112" i="17"/>
  <c r="BX112" i="17"/>
  <c r="CG114" i="17"/>
  <c r="BW114" i="17"/>
  <c r="BV114" i="17"/>
  <c r="CF114" i="17"/>
  <c r="C115" i="17"/>
  <c r="AS112" i="17"/>
  <c r="BS112" i="17"/>
  <c r="AQ113" i="17"/>
  <c r="AT113" i="17"/>
  <c r="BP113" i="17"/>
  <c r="BU113" i="17"/>
  <c r="BT113" i="17"/>
  <c r="BZ113" i="17"/>
  <c r="CE113" i="17"/>
  <c r="CD113" i="17"/>
  <c r="BO114" i="17"/>
  <c r="B115" i="17"/>
  <c r="BY114" i="17"/>
  <c r="CC112" i="17"/>
  <c r="CH112" i="17"/>
  <c r="AX93" i="6"/>
  <c r="AO93" i="6"/>
  <c r="AY93" i="6"/>
  <c r="AN93" i="6"/>
  <c r="AE93" i="6"/>
  <c r="T93" i="6"/>
  <c r="J93" i="6"/>
  <c r="U93" i="6"/>
  <c r="K93" i="6"/>
  <c r="AD93" i="6"/>
  <c r="DY112" i="17"/>
  <c r="H113" i="17"/>
  <c r="AU92" i="6"/>
  <c r="AU93" i="6"/>
  <c r="K115" i="17"/>
  <c r="U115" i="17"/>
  <c r="L115" i="17"/>
  <c r="V115" i="17"/>
  <c r="W113" i="17"/>
  <c r="T114" i="17"/>
  <c r="S114" i="17"/>
  <c r="R113" i="17"/>
  <c r="J114" i="17"/>
  <c r="I114" i="17"/>
  <c r="D115" i="17"/>
  <c r="E115" i="17"/>
  <c r="N115" i="17"/>
  <c r="O115" i="17"/>
  <c r="M113" i="17"/>
  <c r="DB113" i="17"/>
  <c r="DX113" i="17"/>
  <c r="DF113" i="17"/>
  <c r="X115" i="17"/>
  <c r="Y115" i="17" s="1"/>
  <c r="CI115" i="17"/>
  <c r="CJ115" i="17" s="1"/>
  <c r="DE114" i="17"/>
  <c r="DD112" i="17"/>
  <c r="AM92" i="6"/>
  <c r="AP92" i="6"/>
  <c r="AK93" i="6"/>
  <c r="AZ92" i="6"/>
  <c r="I92" i="6"/>
  <c r="L92" i="6"/>
  <c r="AA93" i="6"/>
  <c r="Q93" i="6"/>
  <c r="Q92" i="6"/>
  <c r="AC92" i="6"/>
  <c r="AF92" i="6"/>
  <c r="I93" i="6"/>
  <c r="H93" i="6"/>
  <c r="V92" i="6"/>
  <c r="AV93" i="6"/>
  <c r="R93" i="6"/>
  <c r="AB93" i="6"/>
  <c r="AL93" i="6"/>
  <c r="BJ92" i="6"/>
  <c r="BA94" i="6"/>
  <c r="BB94" i="6" s="1"/>
  <c r="AQ94" i="6"/>
  <c r="AR94" i="6" s="1"/>
  <c r="W94" i="6"/>
  <c r="X94" i="6" s="1"/>
  <c r="A95" i="6"/>
  <c r="C94" i="6"/>
  <c r="D94" i="6"/>
  <c r="M94" i="6"/>
  <c r="N94" i="6"/>
  <c r="AG94" i="6"/>
  <c r="AH94" i="6" s="1"/>
  <c r="BE92" i="6"/>
  <c r="BF93" i="6"/>
  <c r="BG93" i="6"/>
  <c r="B112" i="6"/>
  <c r="BI111" i="6"/>
  <c r="BH111" i="6"/>
  <c r="BN112" i="17"/>
  <c r="AU113" i="17"/>
  <c r="BM113" i="17"/>
  <c r="CH113" i="17"/>
  <c r="BX113" i="17"/>
  <c r="BS113" i="17"/>
  <c r="BY115" i="17"/>
  <c r="BO115" i="17"/>
  <c r="B116" i="17"/>
  <c r="CC113" i="17"/>
  <c r="AT114" i="17"/>
  <c r="AQ114" i="17"/>
  <c r="C116" i="17"/>
  <c r="CF115" i="17"/>
  <c r="BV115" i="17"/>
  <c r="BW115" i="17"/>
  <c r="CG115" i="17"/>
  <c r="BT114" i="17"/>
  <c r="BP114" i="17"/>
  <c r="BU114" i="17"/>
  <c r="CD114" i="17"/>
  <c r="BZ114" i="17"/>
  <c r="CE114" i="17"/>
  <c r="AY94" i="6"/>
  <c r="AX94" i="6"/>
  <c r="AO94" i="6"/>
  <c r="AN94" i="6"/>
  <c r="AD94" i="6"/>
  <c r="K94" i="6"/>
  <c r="J94" i="6"/>
  <c r="T94" i="6"/>
  <c r="AE94" i="6"/>
  <c r="U94" i="6"/>
  <c r="DY113" i="17"/>
  <c r="AW93" i="6"/>
  <c r="AZ93" i="6"/>
  <c r="AW94" i="6"/>
  <c r="R114" i="17"/>
  <c r="W114" i="17"/>
  <c r="K116" i="17"/>
  <c r="U116" i="17"/>
  <c r="L116" i="17"/>
  <c r="V116" i="17"/>
  <c r="M114" i="17"/>
  <c r="J115" i="17"/>
  <c r="I115" i="17"/>
  <c r="H114" i="17"/>
  <c r="T115" i="17"/>
  <c r="S115" i="17"/>
  <c r="D116" i="17"/>
  <c r="E116" i="17"/>
  <c r="N116" i="17"/>
  <c r="O116" i="17"/>
  <c r="DD113" i="17"/>
  <c r="DB114" i="17"/>
  <c r="DX114" i="17"/>
  <c r="DF114" i="17"/>
  <c r="DE115" i="17"/>
  <c r="X116" i="17"/>
  <c r="Y116" i="17" s="1"/>
  <c r="CI116" i="17"/>
  <c r="CJ116" i="17" s="1"/>
  <c r="AM93" i="6"/>
  <c r="AM94" i="6"/>
  <c r="S93" i="6"/>
  <c r="V93" i="6"/>
  <c r="G93" i="6"/>
  <c r="AA94" i="6"/>
  <c r="Q94" i="6"/>
  <c r="G94" i="6"/>
  <c r="AC93" i="6"/>
  <c r="AF93" i="6"/>
  <c r="L93" i="6"/>
  <c r="H94" i="6"/>
  <c r="AV94" i="6"/>
  <c r="AP93" i="6"/>
  <c r="AB94" i="6"/>
  <c r="B113" i="6"/>
  <c r="BI112" i="6"/>
  <c r="BH112" i="6"/>
  <c r="BA95" i="6"/>
  <c r="BB95" i="6" s="1"/>
  <c r="C95" i="6"/>
  <c r="D95" i="6"/>
  <c r="AQ95" i="6"/>
  <c r="AR95" i="6" s="1"/>
  <c r="AG95" i="6"/>
  <c r="AH95" i="6" s="1"/>
  <c r="W95" i="6"/>
  <c r="X95" i="6" s="1"/>
  <c r="A96" i="6"/>
  <c r="M95" i="6"/>
  <c r="N95" i="6"/>
  <c r="BF94" i="6"/>
  <c r="BG94" i="6"/>
  <c r="AL94" i="6"/>
  <c r="R94" i="6"/>
  <c r="BJ93" i="6"/>
  <c r="BE93" i="6"/>
  <c r="BN113" i="17"/>
  <c r="AS113" i="17"/>
  <c r="AU114" i="17"/>
  <c r="BM114" i="17"/>
  <c r="CH114" i="17"/>
  <c r="C117" i="17"/>
  <c r="BV116" i="17"/>
  <c r="BW116" i="17"/>
  <c r="CG116" i="17"/>
  <c r="CF116" i="17"/>
  <c r="B117" i="17"/>
  <c r="BY116" i="17"/>
  <c r="BO116" i="17"/>
  <c r="AQ115" i="17"/>
  <c r="AT115" i="17"/>
  <c r="BS114" i="17"/>
  <c r="BP115" i="17"/>
  <c r="BU115" i="17"/>
  <c r="BT115" i="17"/>
  <c r="CC114" i="17"/>
  <c r="BX114" i="17"/>
  <c r="BZ115" i="17"/>
  <c r="CE115" i="17"/>
  <c r="CD115" i="17"/>
  <c r="AY95" i="6"/>
  <c r="AX95" i="6"/>
  <c r="AO95" i="6"/>
  <c r="AN95" i="6"/>
  <c r="AD95" i="6"/>
  <c r="T95" i="6"/>
  <c r="U95" i="6"/>
  <c r="K95" i="6"/>
  <c r="AE95" i="6"/>
  <c r="J95" i="6"/>
  <c r="DY114" i="17"/>
  <c r="AU95" i="6"/>
  <c r="AU94" i="6"/>
  <c r="W115" i="17"/>
  <c r="R115" i="17"/>
  <c r="D117" i="17"/>
  <c r="E117" i="17"/>
  <c r="N117" i="17"/>
  <c r="O117" i="17"/>
  <c r="J116" i="17"/>
  <c r="I116" i="17"/>
  <c r="K117" i="17"/>
  <c r="U117" i="17"/>
  <c r="L117" i="17"/>
  <c r="V117" i="17"/>
  <c r="H115" i="17"/>
  <c r="T116" i="17"/>
  <c r="S116" i="17"/>
  <c r="M115" i="17"/>
  <c r="DE116" i="17"/>
  <c r="DB115" i="17"/>
  <c r="DX115" i="17"/>
  <c r="DF115" i="17"/>
  <c r="DD115" i="17"/>
  <c r="X117" i="17"/>
  <c r="Y117" i="17" s="1"/>
  <c r="CI117" i="17"/>
  <c r="CJ117" i="17" s="1"/>
  <c r="DD114" i="17"/>
  <c r="AK95" i="6"/>
  <c r="AK94" i="6"/>
  <c r="AC94" i="6"/>
  <c r="AF94" i="6"/>
  <c r="S94" i="6"/>
  <c r="V94" i="6"/>
  <c r="I94" i="6"/>
  <c r="L94" i="6"/>
  <c r="AA95" i="6"/>
  <c r="I95" i="6"/>
  <c r="S95" i="6"/>
  <c r="AZ94" i="6"/>
  <c r="R95" i="6"/>
  <c r="AP94" i="6"/>
  <c r="AV95" i="6"/>
  <c r="BE94" i="6"/>
  <c r="BF95" i="6"/>
  <c r="BG95" i="6"/>
  <c r="AB95" i="6"/>
  <c r="BJ94" i="6"/>
  <c r="H95" i="6"/>
  <c r="AL95" i="6"/>
  <c r="BA96" i="6"/>
  <c r="BB96" i="6" s="1"/>
  <c r="AG96" i="6"/>
  <c r="AH96" i="6" s="1"/>
  <c r="A97" i="6"/>
  <c r="AQ96" i="6"/>
  <c r="AR96" i="6" s="1"/>
  <c r="M96" i="6"/>
  <c r="N96" i="6"/>
  <c r="C96" i="6"/>
  <c r="D96" i="6"/>
  <c r="W96" i="6"/>
  <c r="X96" i="6" s="1"/>
  <c r="B114" i="6"/>
  <c r="BI113" i="6"/>
  <c r="BH113" i="6"/>
  <c r="AS114" i="17"/>
  <c r="BN114" i="17"/>
  <c r="AU115" i="17"/>
  <c r="BM115" i="17"/>
  <c r="BT116" i="17"/>
  <c r="BP116" i="17"/>
  <c r="BU116" i="17"/>
  <c r="CD116" i="17"/>
  <c r="BZ116" i="17"/>
  <c r="CE116" i="17"/>
  <c r="CC115" i="17"/>
  <c r="BX115" i="17"/>
  <c r="B118" i="17"/>
  <c r="BY117" i="17"/>
  <c r="BO117" i="17"/>
  <c r="CH115" i="17"/>
  <c r="BS115" i="17"/>
  <c r="AT116" i="17"/>
  <c r="AQ116" i="17"/>
  <c r="CF117" i="17"/>
  <c r="BV117" i="17"/>
  <c r="C118" i="17"/>
  <c r="CG117" i="17"/>
  <c r="BW117" i="17"/>
  <c r="AY96" i="6"/>
  <c r="AN96" i="6"/>
  <c r="AX96" i="6"/>
  <c r="AO96" i="6"/>
  <c r="U96" i="6"/>
  <c r="K96" i="6"/>
  <c r="AD96" i="6"/>
  <c r="AE96" i="6"/>
  <c r="J96" i="6"/>
  <c r="T96" i="6"/>
  <c r="DY115" i="17"/>
  <c r="M116" i="17"/>
  <c r="AW95" i="6"/>
  <c r="AW96" i="6"/>
  <c r="W116" i="17"/>
  <c r="R116" i="17"/>
  <c r="H116" i="17"/>
  <c r="T117" i="17"/>
  <c r="S117" i="17"/>
  <c r="K118" i="17"/>
  <c r="U118" i="17"/>
  <c r="L118" i="17"/>
  <c r="V118" i="17"/>
  <c r="J117" i="17"/>
  <c r="I117" i="17"/>
  <c r="D118" i="17"/>
  <c r="E118" i="17"/>
  <c r="N118" i="17"/>
  <c r="O118" i="17"/>
  <c r="DE117" i="17"/>
  <c r="X118" i="17"/>
  <c r="Y118" i="17" s="1"/>
  <c r="CI118" i="17"/>
  <c r="CJ118" i="17" s="1"/>
  <c r="DB116" i="17"/>
  <c r="DX116" i="17"/>
  <c r="DF116" i="17"/>
  <c r="AM95" i="6"/>
  <c r="AP95" i="6"/>
  <c r="AK96" i="6"/>
  <c r="AC95" i="6"/>
  <c r="AF95" i="6"/>
  <c r="AA96" i="6"/>
  <c r="G96" i="6"/>
  <c r="Q96" i="6"/>
  <c r="Q95" i="6"/>
  <c r="G95" i="6"/>
  <c r="AZ95" i="6"/>
  <c r="V95" i="6"/>
  <c r="L95" i="6"/>
  <c r="R96" i="6"/>
  <c r="AL96" i="6"/>
  <c r="AB96" i="6"/>
  <c r="AV96" i="6"/>
  <c r="H96" i="6"/>
  <c r="BA97" i="6"/>
  <c r="BB97" i="6" s="1"/>
  <c r="AG97" i="6"/>
  <c r="AH97" i="6" s="1"/>
  <c r="AQ97" i="6"/>
  <c r="AR97" i="6" s="1"/>
  <c r="A98" i="6"/>
  <c r="M97" i="6"/>
  <c r="N97" i="6"/>
  <c r="C97" i="6"/>
  <c r="D97" i="6"/>
  <c r="W97" i="6"/>
  <c r="X97" i="6" s="1"/>
  <c r="BF96" i="6"/>
  <c r="BG96" i="6"/>
  <c r="BJ95" i="6"/>
  <c r="BE95" i="6"/>
  <c r="B115" i="6"/>
  <c r="BI114" i="6"/>
  <c r="BH114" i="6"/>
  <c r="AS115" i="17"/>
  <c r="BN115" i="17"/>
  <c r="AU116" i="17"/>
  <c r="CH116" i="17"/>
  <c r="AQ117" i="17"/>
  <c r="AT117" i="17"/>
  <c r="CC116" i="17"/>
  <c r="BP117" i="17"/>
  <c r="BU117" i="17"/>
  <c r="BT117" i="17"/>
  <c r="BZ117" i="17"/>
  <c r="CE117" i="17"/>
  <c r="CD117" i="17"/>
  <c r="BO118" i="17"/>
  <c r="BY118" i="17"/>
  <c r="B119" i="17"/>
  <c r="BS116" i="17"/>
  <c r="CG118" i="17"/>
  <c r="BW118" i="17"/>
  <c r="CF118" i="17"/>
  <c r="C119" i="17"/>
  <c r="BV118" i="17"/>
  <c r="BX116" i="17"/>
  <c r="AX97" i="6"/>
  <c r="AO97" i="6"/>
  <c r="AN97" i="6"/>
  <c r="AY97" i="6"/>
  <c r="AD97" i="6"/>
  <c r="T97" i="6"/>
  <c r="AE97" i="6"/>
  <c r="U97" i="6"/>
  <c r="K97" i="6"/>
  <c r="J97" i="6"/>
  <c r="DY116" i="17"/>
  <c r="AU97" i="6"/>
  <c r="AU96" i="6"/>
  <c r="T118" i="17"/>
  <c r="S118" i="17"/>
  <c r="J118" i="17"/>
  <c r="I118" i="17"/>
  <c r="W117" i="17"/>
  <c r="H117" i="17"/>
  <c r="R117" i="17"/>
  <c r="M117" i="17"/>
  <c r="K119" i="17"/>
  <c r="U119" i="17"/>
  <c r="L119" i="17"/>
  <c r="V119" i="17"/>
  <c r="D119" i="17"/>
  <c r="E119" i="17"/>
  <c r="N119" i="17"/>
  <c r="O119" i="17"/>
  <c r="X119" i="17"/>
  <c r="Y119" i="17" s="1"/>
  <c r="CI119" i="17"/>
  <c r="CJ119" i="17" s="1"/>
  <c r="DE118" i="17"/>
  <c r="DB117" i="17"/>
  <c r="DX117" i="17"/>
  <c r="DF117" i="17"/>
  <c r="DD116" i="17"/>
  <c r="AM96" i="6"/>
  <c r="AP96" i="6"/>
  <c r="AK97" i="6"/>
  <c r="AC96" i="6"/>
  <c r="AF96" i="6"/>
  <c r="I96" i="6"/>
  <c r="L96" i="6"/>
  <c r="S96" i="6"/>
  <c r="V96" i="6"/>
  <c r="AA97" i="6"/>
  <c r="I97" i="6"/>
  <c r="S97" i="6"/>
  <c r="H97" i="6"/>
  <c r="AL97" i="6"/>
  <c r="R97" i="6"/>
  <c r="AV97" i="6"/>
  <c r="AZ96" i="6"/>
  <c r="B116" i="6"/>
  <c r="BI115" i="6"/>
  <c r="BH115" i="6"/>
  <c r="BA98" i="6"/>
  <c r="BB98" i="6" s="1"/>
  <c r="M98" i="6"/>
  <c r="N98" i="6"/>
  <c r="W98" i="6"/>
  <c r="X98" i="6" s="1"/>
  <c r="A99" i="6"/>
  <c r="C98" i="6"/>
  <c r="D98" i="6"/>
  <c r="AG98" i="6"/>
  <c r="AH98" i="6" s="1"/>
  <c r="AQ98" i="6"/>
  <c r="AR98" i="6" s="1"/>
  <c r="AB97" i="6"/>
  <c r="BJ96" i="6"/>
  <c r="BE96" i="6"/>
  <c r="BF97" i="6"/>
  <c r="BG97" i="6"/>
  <c r="AS116" i="17"/>
  <c r="BM116" i="17"/>
  <c r="BN116" i="17"/>
  <c r="AU117" i="17"/>
  <c r="BM117" i="17"/>
  <c r="BS117" i="17"/>
  <c r="CC117" i="17"/>
  <c r="CH117" i="17"/>
  <c r="B120" i="17"/>
  <c r="BO119" i="17"/>
  <c r="BY119" i="17"/>
  <c r="AT118" i="17"/>
  <c r="AQ118" i="17"/>
  <c r="BX117" i="17"/>
  <c r="BT118" i="17"/>
  <c r="BP118" i="17"/>
  <c r="BU118" i="17"/>
  <c r="C120" i="17"/>
  <c r="CF119" i="17"/>
  <c r="BV119" i="17"/>
  <c r="BW119" i="17"/>
  <c r="CG119" i="17"/>
  <c r="CD118" i="17"/>
  <c r="BZ118" i="17"/>
  <c r="CE118" i="17"/>
  <c r="AY98" i="6"/>
  <c r="AX98" i="6"/>
  <c r="AO98" i="6"/>
  <c r="AN98" i="6"/>
  <c r="AD98" i="6"/>
  <c r="AE98" i="6"/>
  <c r="K98" i="6"/>
  <c r="U98" i="6"/>
  <c r="J98" i="6"/>
  <c r="T98" i="6"/>
  <c r="AW97" i="6"/>
  <c r="AZ97" i="6"/>
  <c r="DY117" i="17"/>
  <c r="M118" i="17"/>
  <c r="AM97" i="6"/>
  <c r="AP97" i="6"/>
  <c r="AU98" i="6"/>
  <c r="J119" i="17"/>
  <c r="I119" i="17"/>
  <c r="H118" i="17"/>
  <c r="T119" i="17"/>
  <c r="S119" i="17"/>
  <c r="U120" i="17"/>
  <c r="K120" i="17"/>
  <c r="L120" i="17"/>
  <c r="V120" i="17"/>
  <c r="D120" i="17"/>
  <c r="E120" i="17"/>
  <c r="N120" i="17"/>
  <c r="O120" i="17"/>
  <c r="W118" i="17"/>
  <c r="R118" i="17"/>
  <c r="DD117" i="17"/>
  <c r="DB118" i="17"/>
  <c r="DX118" i="17"/>
  <c r="DF118" i="17"/>
  <c r="X120" i="17"/>
  <c r="Y120" i="17" s="1"/>
  <c r="CI120" i="17"/>
  <c r="CJ120" i="17" s="1"/>
  <c r="DE119" i="17"/>
  <c r="AK98" i="6"/>
  <c r="AC97" i="6"/>
  <c r="AF97" i="6"/>
  <c r="L97" i="6"/>
  <c r="Q97" i="6"/>
  <c r="G97" i="6"/>
  <c r="G98" i="6"/>
  <c r="S98" i="6"/>
  <c r="AC98" i="6"/>
  <c r="AB98" i="6"/>
  <c r="V97" i="6"/>
  <c r="H98" i="6"/>
  <c r="AL98" i="6"/>
  <c r="BF98" i="6"/>
  <c r="BG98" i="6"/>
  <c r="B117" i="6"/>
  <c r="BI116" i="6"/>
  <c r="BH116" i="6"/>
  <c r="BJ97" i="6"/>
  <c r="R98" i="6"/>
  <c r="BE97" i="6"/>
  <c r="AV98" i="6"/>
  <c r="BA99" i="6"/>
  <c r="BB99" i="6" s="1"/>
  <c r="M99" i="6"/>
  <c r="N99" i="6"/>
  <c r="W99" i="6"/>
  <c r="X99" i="6" s="1"/>
  <c r="C99" i="6"/>
  <c r="D99" i="6"/>
  <c r="AQ99" i="6"/>
  <c r="AR99" i="6" s="1"/>
  <c r="AG99" i="6"/>
  <c r="AH99" i="6" s="1"/>
  <c r="A100" i="6"/>
  <c r="AS117" i="17"/>
  <c r="BN117" i="17"/>
  <c r="AU118" i="17"/>
  <c r="BM118" i="17"/>
  <c r="BS118" i="17"/>
  <c r="CC118" i="17"/>
  <c r="CH118" i="17"/>
  <c r="BZ119" i="17"/>
  <c r="CE119" i="17"/>
  <c r="CD119" i="17"/>
  <c r="BX118" i="17"/>
  <c r="BP119" i="17"/>
  <c r="BU119" i="17"/>
  <c r="BT119" i="17"/>
  <c r="CG120" i="17"/>
  <c r="BW120" i="17"/>
  <c r="C121" i="17"/>
  <c r="CF120" i="17"/>
  <c r="BV120" i="17"/>
  <c r="B121" i="17"/>
  <c r="BO120" i="17"/>
  <c r="BY120" i="17"/>
  <c r="AS118" i="17"/>
  <c r="AQ119" i="17"/>
  <c r="AT119" i="17"/>
  <c r="AY99" i="6"/>
  <c r="AX99" i="6"/>
  <c r="AN99" i="6"/>
  <c r="AO99" i="6"/>
  <c r="AE99" i="6"/>
  <c r="T99" i="6"/>
  <c r="U99" i="6"/>
  <c r="J99" i="6"/>
  <c r="K99" i="6"/>
  <c r="AD99" i="6"/>
  <c r="AW98" i="6"/>
  <c r="AZ98" i="6"/>
  <c r="DY118" i="17"/>
  <c r="M119" i="17"/>
  <c r="W119" i="17"/>
  <c r="R119" i="17"/>
  <c r="AU99" i="6"/>
  <c r="T120" i="17"/>
  <c r="S120" i="17"/>
  <c r="J120" i="17"/>
  <c r="I120" i="17"/>
  <c r="H119" i="17"/>
  <c r="U121" i="17"/>
  <c r="K121" i="17"/>
  <c r="L121" i="17"/>
  <c r="V121" i="17"/>
  <c r="D121" i="17"/>
  <c r="E121" i="17"/>
  <c r="N121" i="17"/>
  <c r="O121" i="17"/>
  <c r="DE120" i="17"/>
  <c r="DB119" i="17"/>
  <c r="DX119" i="17"/>
  <c r="DF119" i="17"/>
  <c r="X121" i="17"/>
  <c r="Y121" i="17" s="1"/>
  <c r="CI121" i="17"/>
  <c r="CJ121" i="17" s="1"/>
  <c r="DD119" i="17"/>
  <c r="DD118" i="17"/>
  <c r="AM98" i="6"/>
  <c r="AP98" i="6"/>
  <c r="AK99" i="6"/>
  <c r="Q99" i="6"/>
  <c r="AA98" i="6"/>
  <c r="I98" i="6"/>
  <c r="L98" i="6"/>
  <c r="Q98" i="6"/>
  <c r="AC99" i="6"/>
  <c r="I99" i="6"/>
  <c r="AF98" i="6"/>
  <c r="H99" i="6"/>
  <c r="AV99" i="6"/>
  <c r="R99" i="6"/>
  <c r="AB99" i="6"/>
  <c r="V98" i="6"/>
  <c r="BF99" i="6"/>
  <c r="BG99" i="6"/>
  <c r="BA100" i="6"/>
  <c r="BB100" i="6" s="1"/>
  <c r="A101" i="6"/>
  <c r="M100" i="6"/>
  <c r="N100" i="6"/>
  <c r="C100" i="6"/>
  <c r="D100" i="6"/>
  <c r="AG100" i="6"/>
  <c r="AH100" i="6" s="1"/>
  <c r="W100" i="6"/>
  <c r="X100" i="6" s="1"/>
  <c r="AQ100" i="6"/>
  <c r="AR100" i="6" s="1"/>
  <c r="B118" i="6"/>
  <c r="BI117" i="6"/>
  <c r="BH117" i="6"/>
  <c r="BJ98" i="6"/>
  <c r="AL99" i="6"/>
  <c r="BE98" i="6"/>
  <c r="BN118" i="17"/>
  <c r="AU119" i="17"/>
  <c r="BM119" i="17"/>
  <c r="CC119" i="17"/>
  <c r="BS119" i="17"/>
  <c r="AT120" i="17"/>
  <c r="AQ120" i="17"/>
  <c r="CH119" i="17"/>
  <c r="B122" i="17"/>
  <c r="BY121" i="17"/>
  <c r="BO121" i="17"/>
  <c r="CD120" i="17"/>
  <c r="BZ120" i="17"/>
  <c r="CE120" i="17"/>
  <c r="BT120" i="17"/>
  <c r="BP120" i="17"/>
  <c r="BU120" i="17"/>
  <c r="CF121" i="17"/>
  <c r="BV121" i="17"/>
  <c r="C122" i="17"/>
  <c r="CG121" i="17"/>
  <c r="BW121" i="17"/>
  <c r="BX119" i="17"/>
  <c r="AN100" i="6"/>
  <c r="AY100" i="6"/>
  <c r="AX100" i="6"/>
  <c r="AO100" i="6"/>
  <c r="AE100" i="6"/>
  <c r="J100" i="6"/>
  <c r="T100" i="6"/>
  <c r="U100" i="6"/>
  <c r="K100" i="6"/>
  <c r="AD100" i="6"/>
  <c r="DY119" i="17"/>
  <c r="AW99" i="6"/>
  <c r="AZ99" i="6"/>
  <c r="M120" i="17"/>
  <c r="AU100" i="6"/>
  <c r="K122" i="17"/>
  <c r="U122" i="17"/>
  <c r="L122" i="17"/>
  <c r="V122" i="17"/>
  <c r="D122" i="17"/>
  <c r="E122" i="17"/>
  <c r="N122" i="17"/>
  <c r="O122" i="17"/>
  <c r="T121" i="17"/>
  <c r="S121" i="17"/>
  <c r="H120" i="17"/>
  <c r="J121" i="17"/>
  <c r="I121" i="17"/>
  <c r="W120" i="17"/>
  <c r="R120" i="17"/>
  <c r="DE121" i="17"/>
  <c r="DB120" i="17"/>
  <c r="DX120" i="17"/>
  <c r="DF120" i="17"/>
  <c r="X122" i="17"/>
  <c r="Y122" i="17" s="1"/>
  <c r="CI122" i="17"/>
  <c r="CJ122" i="17" s="1"/>
  <c r="AM99" i="6"/>
  <c r="AP99" i="6"/>
  <c r="AM100" i="6"/>
  <c r="G99" i="6"/>
  <c r="AA99" i="6"/>
  <c r="G100" i="6"/>
  <c r="S99" i="6"/>
  <c r="V99" i="6"/>
  <c r="S100" i="6"/>
  <c r="AA100" i="6"/>
  <c r="AL100" i="6"/>
  <c r="L99" i="6"/>
  <c r="R100" i="6"/>
  <c r="H100" i="6"/>
  <c r="AF99" i="6"/>
  <c r="AV100" i="6"/>
  <c r="AB100" i="6"/>
  <c r="BA101" i="6"/>
  <c r="BB101" i="6" s="1"/>
  <c r="AG101" i="6"/>
  <c r="AH101" i="6" s="1"/>
  <c r="AQ101" i="6"/>
  <c r="AR101" i="6" s="1"/>
  <c r="A102" i="6"/>
  <c r="M101" i="6"/>
  <c r="N101" i="6"/>
  <c r="C101" i="6"/>
  <c r="D101" i="6"/>
  <c r="W101" i="6"/>
  <c r="X101" i="6" s="1"/>
  <c r="BG100" i="6"/>
  <c r="BF100" i="6"/>
  <c r="B119" i="6"/>
  <c r="BI118" i="6"/>
  <c r="BH118" i="6"/>
  <c r="BJ99" i="6"/>
  <c r="BE99" i="6"/>
  <c r="AS119" i="17"/>
  <c r="BN119" i="17"/>
  <c r="AU120" i="17"/>
  <c r="BM120" i="17"/>
  <c r="BS120" i="17"/>
  <c r="BY122" i="17"/>
  <c r="BO122" i="17"/>
  <c r="B123" i="17"/>
  <c r="CC120" i="17"/>
  <c r="CH120" i="17"/>
  <c r="BZ121" i="17"/>
  <c r="CE121" i="17"/>
  <c r="CD121" i="17"/>
  <c r="CG122" i="17"/>
  <c r="BW122" i="17"/>
  <c r="CF122" i="17"/>
  <c r="BV122" i="17"/>
  <c r="C123" i="17"/>
  <c r="BX120" i="17"/>
  <c r="AQ121" i="17"/>
  <c r="AT121" i="17"/>
  <c r="BP121" i="17"/>
  <c r="BU121" i="17"/>
  <c r="BT121" i="17"/>
  <c r="AX101" i="6"/>
  <c r="AO101" i="6"/>
  <c r="AY101" i="6"/>
  <c r="AN101" i="6"/>
  <c r="T101" i="6"/>
  <c r="AD101" i="6"/>
  <c r="J101" i="6"/>
  <c r="K101" i="6"/>
  <c r="U101" i="6"/>
  <c r="AE101" i="6"/>
  <c r="DY120" i="17"/>
  <c r="H121" i="17"/>
  <c r="AU101" i="6"/>
  <c r="AW100" i="6"/>
  <c r="AZ100" i="6"/>
  <c r="T122" i="17"/>
  <c r="S122" i="17"/>
  <c r="J122" i="17"/>
  <c r="I122" i="17"/>
  <c r="M121" i="17"/>
  <c r="K123" i="17"/>
  <c r="U123" i="17"/>
  <c r="L123" i="17"/>
  <c r="V123" i="17"/>
  <c r="R121" i="17"/>
  <c r="D123" i="17"/>
  <c r="E123" i="17"/>
  <c r="N123" i="17"/>
  <c r="O123" i="17"/>
  <c r="DD120" i="17"/>
  <c r="W121" i="17"/>
  <c r="DE122" i="17"/>
  <c r="X123" i="17"/>
  <c r="Y123" i="17" s="1"/>
  <c r="CI123" i="17"/>
  <c r="CJ123" i="17" s="1"/>
  <c r="DB121" i="17"/>
  <c r="DX121" i="17"/>
  <c r="DF121" i="17"/>
  <c r="AK101" i="6"/>
  <c r="AK100" i="6"/>
  <c r="I100" i="6"/>
  <c r="L100" i="6"/>
  <c r="AC100" i="6"/>
  <c r="AF100" i="6"/>
  <c r="Q100" i="6"/>
  <c r="AA101" i="6"/>
  <c r="I101" i="6"/>
  <c r="S101" i="6"/>
  <c r="V100" i="6"/>
  <c r="AP100" i="6"/>
  <c r="R101" i="6"/>
  <c r="AB101" i="6"/>
  <c r="AV101" i="6"/>
  <c r="AL101" i="6"/>
  <c r="B120" i="6"/>
  <c r="BI119" i="6"/>
  <c r="BH119" i="6"/>
  <c r="BA102" i="6"/>
  <c r="BB102" i="6" s="1"/>
  <c r="AG102" i="6"/>
  <c r="AH102" i="6" s="1"/>
  <c r="AQ102" i="6"/>
  <c r="AR102" i="6" s="1"/>
  <c r="W102" i="6"/>
  <c r="X102" i="6" s="1"/>
  <c r="A103" i="6"/>
  <c r="M102" i="6"/>
  <c r="N102" i="6"/>
  <c r="C102" i="6"/>
  <c r="D102" i="6"/>
  <c r="BF101" i="6"/>
  <c r="BG101" i="6"/>
  <c r="H101" i="6"/>
  <c r="BJ100" i="6"/>
  <c r="AW101" i="6"/>
  <c r="BE100" i="6"/>
  <c r="AS120" i="17"/>
  <c r="BN120" i="17"/>
  <c r="AU121" i="17"/>
  <c r="CC121" i="17"/>
  <c r="CH121" i="17"/>
  <c r="BS121" i="17"/>
  <c r="AT122" i="17"/>
  <c r="AQ122" i="17"/>
  <c r="BX121" i="17"/>
  <c r="B124" i="17"/>
  <c r="BY123" i="17"/>
  <c r="BO123" i="17"/>
  <c r="CD122" i="17"/>
  <c r="BZ122" i="17"/>
  <c r="CE122" i="17"/>
  <c r="BT122" i="17"/>
  <c r="BP122" i="17"/>
  <c r="BU122" i="17"/>
  <c r="C124" i="17"/>
  <c r="CF123" i="17"/>
  <c r="BV123" i="17"/>
  <c r="BW123" i="17"/>
  <c r="CG123" i="17"/>
  <c r="AY102" i="6"/>
  <c r="AX102" i="6"/>
  <c r="AO102" i="6"/>
  <c r="AN102" i="6"/>
  <c r="AD102" i="6"/>
  <c r="K102" i="6"/>
  <c r="U102" i="6"/>
  <c r="T102" i="6"/>
  <c r="J102" i="6"/>
  <c r="AE102" i="6"/>
  <c r="DY121" i="17"/>
  <c r="AM101" i="6"/>
  <c r="AU102" i="6"/>
  <c r="M122" i="17"/>
  <c r="T123" i="17"/>
  <c r="S123" i="17"/>
  <c r="J123" i="17"/>
  <c r="I123" i="17"/>
  <c r="H122" i="17"/>
  <c r="W122" i="17"/>
  <c r="D124" i="17"/>
  <c r="E124" i="17"/>
  <c r="N124" i="17"/>
  <c r="O124" i="17"/>
  <c r="U124" i="17"/>
  <c r="U22" i="17"/>
  <c r="K124" i="17"/>
  <c r="K22" i="17"/>
  <c r="L124" i="17"/>
  <c r="L22" i="17"/>
  <c r="V124" i="17"/>
  <c r="V22" i="17"/>
  <c r="R122" i="17"/>
  <c r="DE123" i="17"/>
  <c r="X124" i="17"/>
  <c r="Y124" i="17" s="1"/>
  <c r="X22" i="17"/>
  <c r="CI124" i="17"/>
  <c r="CJ124" i="17" s="1"/>
  <c r="DB122" i="17"/>
  <c r="DX122" i="17"/>
  <c r="DF122" i="17"/>
  <c r="DY122" i="17"/>
  <c r="DD121" i="17"/>
  <c r="AK102" i="6"/>
  <c r="AC101" i="6"/>
  <c r="AF101" i="6"/>
  <c r="Q101" i="6"/>
  <c r="G101" i="6"/>
  <c r="G102" i="6"/>
  <c r="S102" i="6"/>
  <c r="AA102" i="6"/>
  <c r="V101" i="6"/>
  <c r="AV102" i="6"/>
  <c r="AZ101" i="6"/>
  <c r="AP101" i="6"/>
  <c r="R102" i="6"/>
  <c r="L101" i="6"/>
  <c r="H102" i="6"/>
  <c r="BA103" i="6"/>
  <c r="BB103" i="6" s="1"/>
  <c r="AG103" i="6"/>
  <c r="AH103" i="6" s="1"/>
  <c r="W103" i="6"/>
  <c r="X103" i="6" s="1"/>
  <c r="M103" i="6"/>
  <c r="N103" i="6"/>
  <c r="AQ103" i="6"/>
  <c r="AR103" i="6" s="1"/>
  <c r="C103" i="6"/>
  <c r="D103" i="6"/>
  <c r="A104" i="6"/>
  <c r="BE101" i="6"/>
  <c r="BF102" i="6"/>
  <c r="BG102" i="6"/>
  <c r="BJ101" i="6"/>
  <c r="AB102" i="6"/>
  <c r="AL102" i="6"/>
  <c r="B121" i="6"/>
  <c r="BI120" i="6"/>
  <c r="BH120" i="6"/>
  <c r="AS121" i="17"/>
  <c r="BM121" i="17"/>
  <c r="BN121" i="17"/>
  <c r="AU122" i="17"/>
  <c r="BM122" i="17"/>
  <c r="BS122" i="17"/>
  <c r="CC122" i="17"/>
  <c r="BZ123" i="17"/>
  <c r="CE123" i="17"/>
  <c r="CD123" i="17"/>
  <c r="BX122" i="17"/>
  <c r="BO124" i="17"/>
  <c r="BY124" i="17"/>
  <c r="AQ123" i="17"/>
  <c r="AT123" i="17"/>
  <c r="CH122" i="17"/>
  <c r="CG124" i="17"/>
  <c r="CG22" i="17"/>
  <c r="CF124" i="17"/>
  <c r="CF22" i="17"/>
  <c r="BV124" i="17"/>
  <c r="BV22" i="17"/>
  <c r="BW124" i="17"/>
  <c r="BW22" i="17"/>
  <c r="BP123" i="17"/>
  <c r="BU123" i="17"/>
  <c r="BT123" i="17"/>
  <c r="AY103" i="6"/>
  <c r="AO103" i="6"/>
  <c r="AN103" i="6"/>
  <c r="AX103" i="6"/>
  <c r="U103" i="6"/>
  <c r="AE103" i="6"/>
  <c r="T103" i="6"/>
  <c r="AD103" i="6"/>
  <c r="K103" i="6"/>
  <c r="J103" i="6"/>
  <c r="DD122" i="17"/>
  <c r="R123" i="17"/>
  <c r="AW102" i="6"/>
  <c r="AU103" i="6"/>
  <c r="M123" i="17"/>
  <c r="H123" i="17"/>
  <c r="R124" i="17"/>
  <c r="S124" i="17"/>
  <c r="N22" i="17"/>
  <c r="W123" i="17"/>
  <c r="H124" i="17"/>
  <c r="I124" i="17"/>
  <c r="D22" i="17"/>
  <c r="DE124" i="17"/>
  <c r="CJ22" i="17"/>
  <c r="CI22" i="17"/>
  <c r="DB123" i="17"/>
  <c r="DX123" i="17"/>
  <c r="DF123" i="17"/>
  <c r="AK103" i="6"/>
  <c r="AM102" i="6"/>
  <c r="AP102" i="6"/>
  <c r="I102" i="6"/>
  <c r="L102" i="6"/>
  <c r="AZ102" i="6"/>
  <c r="G103" i="6"/>
  <c r="AA103" i="6"/>
  <c r="Q102" i="6"/>
  <c r="AC102" i="6"/>
  <c r="AF102" i="6"/>
  <c r="S103" i="6"/>
  <c r="V102" i="6"/>
  <c r="R103" i="6"/>
  <c r="H103" i="6"/>
  <c r="AB103" i="6"/>
  <c r="AL103" i="6"/>
  <c r="BA104" i="6"/>
  <c r="BB104" i="6" s="1"/>
  <c r="AG104" i="6"/>
  <c r="AH104" i="6" s="1"/>
  <c r="A105" i="6"/>
  <c r="M104" i="6"/>
  <c r="N104" i="6"/>
  <c r="C104" i="6"/>
  <c r="D104" i="6"/>
  <c r="W104" i="6"/>
  <c r="X104" i="6" s="1"/>
  <c r="AQ104" i="6"/>
  <c r="AR104" i="6" s="1"/>
  <c r="BJ102" i="6"/>
  <c r="B122" i="6"/>
  <c r="BI121" i="6"/>
  <c r="BH121" i="6"/>
  <c r="BE102" i="6"/>
  <c r="AV103" i="6"/>
  <c r="BF103" i="6"/>
  <c r="BG103" i="6"/>
  <c r="BN122" i="17"/>
  <c r="AS122" i="17"/>
  <c r="AU123" i="17"/>
  <c r="BM123" i="17"/>
  <c r="BS123" i="17"/>
  <c r="CC123" i="17"/>
  <c r="BX123" i="17"/>
  <c r="CH123" i="17"/>
  <c r="AT124" i="17"/>
  <c r="AT22" i="17"/>
  <c r="BT124" i="17"/>
  <c r="BP124" i="17"/>
  <c r="BP22" i="17"/>
  <c r="BO22" i="17"/>
  <c r="CD124" i="17"/>
  <c r="BZ124" i="17"/>
  <c r="BY22" i="17"/>
  <c r="AY104" i="6"/>
  <c r="AN104" i="6"/>
  <c r="AX104" i="6"/>
  <c r="AO104" i="6"/>
  <c r="AE104" i="6"/>
  <c r="U104" i="6"/>
  <c r="J104" i="6"/>
  <c r="AD104" i="6"/>
  <c r="K104" i="6"/>
  <c r="T104" i="6"/>
  <c r="AW103" i="6"/>
  <c r="AZ103" i="6"/>
  <c r="DY123" i="17"/>
  <c r="AU104" i="6"/>
  <c r="DE22" i="17"/>
  <c r="S22" i="17"/>
  <c r="T124" i="17"/>
  <c r="I22" i="17"/>
  <c r="J124" i="17"/>
  <c r="DB124" i="17"/>
  <c r="DB22" i="17"/>
  <c r="DF124" i="17"/>
  <c r="DF22" i="17"/>
  <c r="DD123" i="17"/>
  <c r="AK104" i="6"/>
  <c r="AM103" i="6"/>
  <c r="AP103" i="6"/>
  <c r="AC103" i="6"/>
  <c r="AF103" i="6"/>
  <c r="I103" i="6"/>
  <c r="L103" i="6"/>
  <c r="Q104" i="6"/>
  <c r="Q103" i="6"/>
  <c r="AC104" i="6"/>
  <c r="I104" i="6"/>
  <c r="V103" i="6"/>
  <c r="AL104" i="6"/>
  <c r="R104" i="6"/>
  <c r="H104" i="6"/>
  <c r="AB104" i="6"/>
  <c r="BE103" i="6"/>
  <c r="BA105" i="6"/>
  <c r="BB105" i="6" s="1"/>
  <c r="W105" i="6"/>
  <c r="X105" i="6" s="1"/>
  <c r="AG105" i="6"/>
  <c r="AH105" i="6" s="1"/>
  <c r="M105" i="6"/>
  <c r="N105" i="6"/>
  <c r="AQ105" i="6"/>
  <c r="AR105" i="6" s="1"/>
  <c r="A106" i="6"/>
  <c r="C105" i="6"/>
  <c r="D105" i="6"/>
  <c r="AV104" i="6"/>
  <c r="BF104" i="6"/>
  <c r="BG104" i="6"/>
  <c r="B123" i="6"/>
  <c r="BI122" i="6"/>
  <c r="BH122" i="6"/>
  <c r="BJ103" i="6"/>
  <c r="AQ124" i="17"/>
  <c r="AS123" i="17"/>
  <c r="BN123" i="17"/>
  <c r="BU124" i="17"/>
  <c r="BU22" i="17"/>
  <c r="BS124" i="17"/>
  <c r="BS22" i="17"/>
  <c r="BT22" i="17"/>
  <c r="CE124" i="17"/>
  <c r="CE22" i="17"/>
  <c r="BZ22" i="17"/>
  <c r="CC124" i="17"/>
  <c r="CC22" i="17"/>
  <c r="AU124" i="17"/>
  <c r="CD22" i="17"/>
  <c r="AX105" i="6"/>
  <c r="AO105" i="6"/>
  <c r="AN105" i="6"/>
  <c r="AY105" i="6"/>
  <c r="U105" i="6"/>
  <c r="J105" i="6"/>
  <c r="T105" i="6"/>
  <c r="AD105" i="6"/>
  <c r="K105" i="6"/>
  <c r="AE105" i="6"/>
  <c r="AW104" i="6"/>
  <c r="AZ104" i="6"/>
  <c r="M124" i="17"/>
  <c r="AM104" i="6"/>
  <c r="AP104" i="6"/>
  <c r="AU105" i="6"/>
  <c r="W124" i="17"/>
  <c r="DX124" i="17"/>
  <c r="DX22" i="17"/>
  <c r="DD124" i="17"/>
  <c r="DD22" i="17"/>
  <c r="AK105" i="6"/>
  <c r="Q105" i="6"/>
  <c r="G104" i="6"/>
  <c r="AA105" i="6"/>
  <c r="AA104" i="6"/>
  <c r="S104" i="6"/>
  <c r="V104" i="6"/>
  <c r="I105" i="6"/>
  <c r="R105" i="6"/>
  <c r="L104" i="6"/>
  <c r="H105" i="6"/>
  <c r="AF104" i="6"/>
  <c r="AB105" i="6"/>
  <c r="AL105" i="6"/>
  <c r="BA106" i="6"/>
  <c r="BB106" i="6" s="1"/>
  <c r="W106" i="6"/>
  <c r="X106" i="6" s="1"/>
  <c r="A107" i="6"/>
  <c r="M106" i="6"/>
  <c r="N106" i="6"/>
  <c r="C106" i="6"/>
  <c r="D106" i="6"/>
  <c r="AG106" i="6"/>
  <c r="AH106" i="6" s="1"/>
  <c r="AQ106" i="6"/>
  <c r="AR106" i="6" s="1"/>
  <c r="B124" i="6"/>
  <c r="BI123" i="6"/>
  <c r="BH123" i="6"/>
  <c r="BJ104" i="6"/>
  <c r="AV105" i="6"/>
  <c r="BE104" i="6"/>
  <c r="BF105" i="6"/>
  <c r="BG105" i="6"/>
  <c r="AS124" i="17"/>
  <c r="BM124" i="17"/>
  <c r="AP22" i="17"/>
  <c r="BL27" i="17"/>
  <c r="BL22" i="17"/>
  <c r="AS27" i="17"/>
  <c r="CH124" i="17"/>
  <c r="CH22" i="17"/>
  <c r="BX124" i="17"/>
  <c r="BX22" i="17"/>
  <c r="AY106" i="6"/>
  <c r="AX106" i="6"/>
  <c r="AO106" i="6"/>
  <c r="AN106" i="6"/>
  <c r="AD106" i="6"/>
  <c r="J106" i="6"/>
  <c r="AE106" i="6"/>
  <c r="U106" i="6"/>
  <c r="T106" i="6"/>
  <c r="K106" i="6"/>
  <c r="AU106" i="6"/>
  <c r="AW105" i="6"/>
  <c r="DY124" i="17"/>
  <c r="DY22" i="17"/>
  <c r="AK106" i="6"/>
  <c r="AM105" i="6"/>
  <c r="AP105" i="6"/>
  <c r="S105" i="6"/>
  <c r="V105" i="6"/>
  <c r="G105" i="6"/>
  <c r="AA106" i="6"/>
  <c r="AC105" i="6"/>
  <c r="AF105" i="6"/>
  <c r="I106" i="6"/>
  <c r="S106" i="6"/>
  <c r="L105" i="6"/>
  <c r="AZ105" i="6"/>
  <c r="R106" i="6"/>
  <c r="BJ105" i="6"/>
  <c r="BE105" i="6"/>
  <c r="BA107" i="6"/>
  <c r="BB107" i="6" s="1"/>
  <c r="AG107" i="6"/>
  <c r="AH107" i="6" s="1"/>
  <c r="W107" i="6"/>
  <c r="X107" i="6" s="1"/>
  <c r="A108" i="6"/>
  <c r="C107" i="6"/>
  <c r="D107" i="6"/>
  <c r="M107" i="6"/>
  <c r="N107" i="6"/>
  <c r="AQ107" i="6"/>
  <c r="AR107" i="6" s="1"/>
  <c r="AL106" i="6"/>
  <c r="H106" i="6"/>
  <c r="AV106" i="6"/>
  <c r="AB106" i="6"/>
  <c r="BF106" i="6"/>
  <c r="BG106" i="6"/>
  <c r="BI124" i="6"/>
  <c r="BI22" i="6"/>
  <c r="BH124" i="6"/>
  <c r="BH22" i="6"/>
  <c r="BN124" i="17"/>
  <c r="BN27" i="17"/>
  <c r="AY107" i="6"/>
  <c r="AX107" i="6"/>
  <c r="AO107" i="6"/>
  <c r="AN107" i="6"/>
  <c r="AD107" i="6"/>
  <c r="K107" i="6"/>
  <c r="AE107" i="6"/>
  <c r="U107" i="6"/>
  <c r="T107" i="6"/>
  <c r="J107" i="6"/>
  <c r="AW106" i="6"/>
  <c r="AZ106" i="6"/>
  <c r="AU107" i="6"/>
  <c r="AM107" i="6"/>
  <c r="AM106" i="6"/>
  <c r="AP106" i="6"/>
  <c r="AA107" i="6"/>
  <c r="G106" i="6"/>
  <c r="AC106" i="6"/>
  <c r="AF106" i="6"/>
  <c r="G107" i="6"/>
  <c r="Q106" i="6"/>
  <c r="S107" i="6"/>
  <c r="V106" i="6"/>
  <c r="AV107" i="6"/>
  <c r="H107" i="6"/>
  <c r="AL107" i="6"/>
  <c r="L106" i="6"/>
  <c r="AB107" i="6"/>
  <c r="BE106" i="6"/>
  <c r="BA108" i="6"/>
  <c r="BB108" i="6" s="1"/>
  <c r="A109" i="6"/>
  <c r="M108" i="6"/>
  <c r="N108" i="6"/>
  <c r="C108" i="6"/>
  <c r="D108" i="6"/>
  <c r="W108" i="6"/>
  <c r="X108" i="6" s="1"/>
  <c r="AQ108" i="6"/>
  <c r="AR108" i="6" s="1"/>
  <c r="AG108" i="6"/>
  <c r="AH108" i="6" s="1"/>
  <c r="BF107" i="6"/>
  <c r="BG107" i="6"/>
  <c r="R107" i="6"/>
  <c r="BJ106" i="6"/>
  <c r="AN108" i="6"/>
  <c r="AX108" i="6"/>
  <c r="AO108" i="6"/>
  <c r="AY108" i="6"/>
  <c r="U108" i="6"/>
  <c r="K108" i="6"/>
  <c r="AE108" i="6"/>
  <c r="T108" i="6"/>
  <c r="J108" i="6"/>
  <c r="AD108" i="6"/>
  <c r="AU108" i="6"/>
  <c r="AW107" i="6"/>
  <c r="AZ107" i="6"/>
  <c r="AK107" i="6"/>
  <c r="AM108" i="6"/>
  <c r="AC107" i="6"/>
  <c r="AF107" i="6"/>
  <c r="Q107" i="6"/>
  <c r="I107" i="6"/>
  <c r="L107" i="6"/>
  <c r="AA108" i="6"/>
  <c r="I108" i="6"/>
  <c r="S108" i="6"/>
  <c r="AP107" i="6"/>
  <c r="V107" i="6"/>
  <c r="AL108" i="6"/>
  <c r="BJ107" i="6"/>
  <c r="AB108" i="6"/>
  <c r="BA109" i="6"/>
  <c r="BB109" i="6" s="1"/>
  <c r="W109" i="6"/>
  <c r="X109" i="6" s="1"/>
  <c r="AG109" i="6"/>
  <c r="AH109" i="6" s="1"/>
  <c r="AQ109" i="6"/>
  <c r="AR109" i="6" s="1"/>
  <c r="A110" i="6"/>
  <c r="C109" i="6"/>
  <c r="D109" i="6"/>
  <c r="M109" i="6"/>
  <c r="N109" i="6"/>
  <c r="BG108" i="6"/>
  <c r="BF108" i="6"/>
  <c r="AV108" i="6"/>
  <c r="BE107" i="6"/>
  <c r="H108" i="6"/>
  <c r="R108" i="6"/>
  <c r="AX109" i="6"/>
  <c r="AY109" i="6"/>
  <c r="AO109" i="6"/>
  <c r="AN109" i="6"/>
  <c r="AE109" i="6"/>
  <c r="T109" i="6"/>
  <c r="K109" i="6"/>
  <c r="J109" i="6"/>
  <c r="U109" i="6"/>
  <c r="AD109" i="6"/>
  <c r="AU109" i="6"/>
  <c r="AW108" i="6"/>
  <c r="AK108" i="6"/>
  <c r="AK109" i="6"/>
  <c r="AC108" i="6"/>
  <c r="Q109" i="6"/>
  <c r="G108" i="6"/>
  <c r="Q108" i="6"/>
  <c r="AA109" i="6"/>
  <c r="G109" i="6"/>
  <c r="L108" i="6"/>
  <c r="AP108" i="6"/>
  <c r="H109" i="6"/>
  <c r="AZ108" i="6"/>
  <c r="R109" i="6"/>
  <c r="AF108" i="6"/>
  <c r="V108" i="6"/>
  <c r="AB109" i="6"/>
  <c r="BF109" i="6"/>
  <c r="BG109" i="6"/>
  <c r="BE108" i="6"/>
  <c r="AV109" i="6"/>
  <c r="AW109" i="6"/>
  <c r="AL109" i="6"/>
  <c r="BJ108" i="6"/>
  <c r="BA110" i="6"/>
  <c r="BB110" i="6" s="1"/>
  <c r="C110" i="6"/>
  <c r="D110" i="6"/>
  <c r="AG110" i="6"/>
  <c r="AH110" i="6" s="1"/>
  <c r="AQ110" i="6"/>
  <c r="AR110" i="6" s="1"/>
  <c r="W110" i="6"/>
  <c r="X110" i="6" s="1"/>
  <c r="A111" i="6"/>
  <c r="M110" i="6"/>
  <c r="N110" i="6"/>
  <c r="AY110" i="6"/>
  <c r="AN110" i="6"/>
  <c r="AX110" i="6"/>
  <c r="AO110" i="6"/>
  <c r="T110" i="6"/>
  <c r="AD110" i="6"/>
  <c r="J110" i="6"/>
  <c r="K110" i="6"/>
  <c r="U110" i="6"/>
  <c r="AE110" i="6"/>
  <c r="AU110" i="6"/>
  <c r="AK110" i="6"/>
  <c r="AM109" i="6"/>
  <c r="AP109" i="6"/>
  <c r="AA110" i="6"/>
  <c r="I109" i="6"/>
  <c r="L109" i="6"/>
  <c r="G110" i="6"/>
  <c r="AC109" i="6"/>
  <c r="AF109" i="6"/>
  <c r="S110" i="6"/>
  <c r="S109" i="6"/>
  <c r="V109" i="6"/>
  <c r="AZ109" i="6"/>
  <c r="BF110" i="6"/>
  <c r="BG110" i="6"/>
  <c r="AB110" i="6"/>
  <c r="AV110" i="6"/>
  <c r="R110" i="6"/>
  <c r="AL110" i="6"/>
  <c r="BJ109" i="6"/>
  <c r="H110" i="6"/>
  <c r="BA111" i="6"/>
  <c r="BB111" i="6" s="1"/>
  <c r="W111" i="6"/>
  <c r="X111" i="6" s="1"/>
  <c r="C111" i="6"/>
  <c r="D111" i="6"/>
  <c r="A112" i="6"/>
  <c r="M111" i="6"/>
  <c r="N111" i="6"/>
  <c r="AQ111" i="6"/>
  <c r="AR111" i="6" s="1"/>
  <c r="AG111" i="6"/>
  <c r="AH111" i="6" s="1"/>
  <c r="BE109" i="6"/>
  <c r="AO111" i="6"/>
  <c r="AY111" i="6"/>
  <c r="AN111" i="6"/>
  <c r="AX111" i="6"/>
  <c r="AD111" i="6"/>
  <c r="T111" i="6"/>
  <c r="U111" i="6"/>
  <c r="K111" i="6"/>
  <c r="J111" i="6"/>
  <c r="AE111" i="6"/>
  <c r="AW110" i="6"/>
  <c r="AZ110" i="6"/>
  <c r="AU111" i="6"/>
  <c r="AM110" i="6"/>
  <c r="AK111" i="6"/>
  <c r="AC110" i="6"/>
  <c r="AF110" i="6"/>
  <c r="Q111" i="6"/>
  <c r="I110" i="6"/>
  <c r="L110" i="6"/>
  <c r="V110" i="6"/>
  <c r="Q110" i="6"/>
  <c r="I111" i="6"/>
  <c r="AC111" i="6"/>
  <c r="R111" i="6"/>
  <c r="AV111" i="6"/>
  <c r="AP110" i="6"/>
  <c r="AL111" i="6"/>
  <c r="H111" i="6"/>
  <c r="BF111" i="6"/>
  <c r="BG111" i="6"/>
  <c r="AB111" i="6"/>
  <c r="BJ110" i="6"/>
  <c r="BE110" i="6"/>
  <c r="BA112" i="6"/>
  <c r="BB112" i="6" s="1"/>
  <c r="C112" i="6"/>
  <c r="D112" i="6"/>
  <c r="W112" i="6"/>
  <c r="X112" i="6" s="1"/>
  <c r="AQ112" i="6"/>
  <c r="AR112" i="6" s="1"/>
  <c r="M112" i="6"/>
  <c r="N112" i="6"/>
  <c r="AG112" i="6"/>
  <c r="AH112" i="6" s="1"/>
  <c r="A113" i="6"/>
  <c r="AO112" i="6"/>
  <c r="AY112" i="6"/>
  <c r="AX112" i="6"/>
  <c r="AN112" i="6"/>
  <c r="AE112" i="6"/>
  <c r="K112" i="6"/>
  <c r="U112" i="6"/>
  <c r="J112" i="6"/>
  <c r="T112" i="6"/>
  <c r="AD112" i="6"/>
  <c r="AW111" i="6"/>
  <c r="AZ111" i="6"/>
  <c r="AU112" i="6"/>
  <c r="AM111" i="6"/>
  <c r="AK112" i="6"/>
  <c r="AA111" i="6"/>
  <c r="G111" i="6"/>
  <c r="S112" i="6"/>
  <c r="AA112" i="6"/>
  <c r="I112" i="6"/>
  <c r="S111" i="6"/>
  <c r="V111" i="6"/>
  <c r="AL112" i="6"/>
  <c r="R112" i="6"/>
  <c r="V112" i="6" s="1"/>
  <c r="AP111" i="6"/>
  <c r="L111" i="6"/>
  <c r="AF111" i="6"/>
  <c r="AV112" i="6"/>
  <c r="AB112" i="6"/>
  <c r="BJ111" i="6"/>
  <c r="BF112" i="6"/>
  <c r="BG112" i="6"/>
  <c r="H112" i="6"/>
  <c r="BA113" i="6"/>
  <c r="BB113" i="6" s="1"/>
  <c r="A114" i="6"/>
  <c r="C113" i="6"/>
  <c r="D113" i="6"/>
  <c r="AG113" i="6"/>
  <c r="AH113" i="6" s="1"/>
  <c r="AQ113" i="6"/>
  <c r="AR113" i="6" s="1"/>
  <c r="M113" i="6"/>
  <c r="N113" i="6"/>
  <c r="W113" i="6"/>
  <c r="X113" i="6" s="1"/>
  <c r="BE111" i="6"/>
  <c r="AX113" i="6"/>
  <c r="AN113" i="6"/>
  <c r="AO113" i="6"/>
  <c r="AY113" i="6"/>
  <c r="U113" i="6"/>
  <c r="J113" i="6"/>
  <c r="K113" i="6"/>
  <c r="AD113" i="6"/>
  <c r="AE113" i="6"/>
  <c r="T113" i="6"/>
  <c r="AM112" i="6"/>
  <c r="AP112" i="6"/>
  <c r="AW112" i="6"/>
  <c r="AZ112" i="6"/>
  <c r="AU113" i="6"/>
  <c r="AK113" i="6"/>
  <c r="G112" i="6"/>
  <c r="AC112" i="6"/>
  <c r="AF112" i="6"/>
  <c r="AA113" i="6"/>
  <c r="Q113" i="6"/>
  <c r="G113" i="6"/>
  <c r="Q112" i="6"/>
  <c r="L112" i="6"/>
  <c r="AV113" i="6"/>
  <c r="AL113" i="6"/>
  <c r="BE112" i="6"/>
  <c r="H113" i="6"/>
  <c r="BJ112" i="6"/>
  <c r="BA114" i="6"/>
  <c r="BB114" i="6" s="1"/>
  <c r="AQ114" i="6"/>
  <c r="AR114" i="6" s="1"/>
  <c r="W114" i="6"/>
  <c r="X114" i="6" s="1"/>
  <c r="A115" i="6"/>
  <c r="C114" i="6"/>
  <c r="D114" i="6"/>
  <c r="M114" i="6"/>
  <c r="N114" i="6"/>
  <c r="AG114" i="6"/>
  <c r="AH114" i="6" s="1"/>
  <c r="BF113" i="6"/>
  <c r="BG113" i="6"/>
  <c r="R113" i="6"/>
  <c r="AB113" i="6"/>
  <c r="AY114" i="6"/>
  <c r="AN114" i="6"/>
  <c r="AX114" i="6"/>
  <c r="AO114" i="6"/>
  <c r="T114" i="6"/>
  <c r="AD114" i="6"/>
  <c r="AE114" i="6"/>
  <c r="U114" i="6"/>
  <c r="J114" i="6"/>
  <c r="K114" i="6"/>
  <c r="AM113" i="6"/>
  <c r="AW113" i="6"/>
  <c r="AZ113" i="6"/>
  <c r="AU114" i="6"/>
  <c r="AK114" i="6"/>
  <c r="AC113" i="6"/>
  <c r="AF113" i="6"/>
  <c r="AA114" i="6"/>
  <c r="I113" i="6"/>
  <c r="L113" i="6"/>
  <c r="S113" i="6"/>
  <c r="V113" i="6"/>
  <c r="S114" i="6"/>
  <c r="I114" i="6"/>
  <c r="AP113" i="6"/>
  <c r="R114" i="6"/>
  <c r="AL114" i="6"/>
  <c r="AB114" i="6"/>
  <c r="BA115" i="6"/>
  <c r="BB115" i="6" s="1"/>
  <c r="AG115" i="6"/>
  <c r="AH115" i="6" s="1"/>
  <c r="AQ115" i="6"/>
  <c r="AR115" i="6" s="1"/>
  <c r="W115" i="6"/>
  <c r="X115" i="6" s="1"/>
  <c r="A116" i="6"/>
  <c r="C115" i="6"/>
  <c r="D115" i="6"/>
  <c r="M115" i="6"/>
  <c r="N115" i="6"/>
  <c r="BF114" i="6"/>
  <c r="BG114" i="6"/>
  <c r="BJ113" i="6"/>
  <c r="BE113" i="6"/>
  <c r="AV114" i="6"/>
  <c r="H114" i="6"/>
  <c r="AO115" i="6"/>
  <c r="AY115" i="6"/>
  <c r="AN115" i="6"/>
  <c r="AX115" i="6"/>
  <c r="AD115" i="6"/>
  <c r="T115" i="6"/>
  <c r="AE115" i="6"/>
  <c r="K115" i="6"/>
  <c r="U115" i="6"/>
  <c r="J115" i="6"/>
  <c r="AW114" i="6"/>
  <c r="AW115" i="6"/>
  <c r="AM115" i="6"/>
  <c r="AM114" i="6"/>
  <c r="AP114" i="6"/>
  <c r="G114" i="6"/>
  <c r="AZ114" i="6"/>
  <c r="AA115" i="6"/>
  <c r="Q114" i="6"/>
  <c r="AC114" i="6"/>
  <c r="AF114" i="6"/>
  <c r="S115" i="6"/>
  <c r="I115" i="6"/>
  <c r="L114" i="6"/>
  <c r="V114" i="6"/>
  <c r="AB115" i="6"/>
  <c r="R115" i="6"/>
  <c r="H115" i="6"/>
  <c r="AL115" i="6"/>
  <c r="AV115" i="6"/>
  <c r="BA116" i="6"/>
  <c r="BB116" i="6" s="1"/>
  <c r="C116" i="6"/>
  <c r="D116" i="6"/>
  <c r="M116" i="6"/>
  <c r="N116" i="6"/>
  <c r="AG116" i="6"/>
  <c r="AH116" i="6" s="1"/>
  <c r="W116" i="6"/>
  <c r="X116" i="6" s="1"/>
  <c r="AQ116" i="6"/>
  <c r="AR116" i="6" s="1"/>
  <c r="A117" i="6"/>
  <c r="BJ114" i="6"/>
  <c r="BE114" i="6"/>
  <c r="BF115" i="6"/>
  <c r="BG115" i="6"/>
  <c r="AO116" i="6"/>
  <c r="AY116" i="6"/>
  <c r="AX116" i="6"/>
  <c r="AN116" i="6"/>
  <c r="U116" i="6"/>
  <c r="J116" i="6"/>
  <c r="AE116" i="6"/>
  <c r="K116" i="6"/>
  <c r="AD116" i="6"/>
  <c r="T116" i="6"/>
  <c r="AU115" i="6"/>
  <c r="AU116" i="6"/>
  <c r="AK116" i="6"/>
  <c r="AK115" i="6"/>
  <c r="AC115" i="6"/>
  <c r="AF115" i="6"/>
  <c r="Q115" i="6"/>
  <c r="G115" i="6"/>
  <c r="AA116" i="6"/>
  <c r="S116" i="6"/>
  <c r="I116" i="6"/>
  <c r="V115" i="6"/>
  <c r="AZ115" i="6"/>
  <c r="L115" i="6"/>
  <c r="AP115" i="6"/>
  <c r="R116" i="6"/>
  <c r="AL116" i="6"/>
  <c r="H116" i="6"/>
  <c r="AV116" i="6"/>
  <c r="BJ115" i="6"/>
  <c r="AB116" i="6"/>
  <c r="BE115" i="6"/>
  <c r="BA117" i="6"/>
  <c r="BB117" i="6" s="1"/>
  <c r="M117" i="6"/>
  <c r="N117" i="6"/>
  <c r="AQ117" i="6"/>
  <c r="AR117" i="6" s="1"/>
  <c r="C117" i="6"/>
  <c r="D117" i="6"/>
  <c r="AG117" i="6"/>
  <c r="AH117" i="6" s="1"/>
  <c r="A118" i="6"/>
  <c r="W117" i="6"/>
  <c r="X117" i="6" s="1"/>
  <c r="BF116" i="6"/>
  <c r="BG116" i="6"/>
  <c r="AX117" i="6"/>
  <c r="AY117" i="6"/>
  <c r="AO117" i="6"/>
  <c r="AN117" i="6"/>
  <c r="AE117" i="6"/>
  <c r="K117" i="6"/>
  <c r="J117" i="6"/>
  <c r="T117" i="6"/>
  <c r="AD117" i="6"/>
  <c r="U117" i="6"/>
  <c r="V116" i="6"/>
  <c r="AW116" i="6"/>
  <c r="AU117" i="6"/>
  <c r="AM116" i="6"/>
  <c r="AM117" i="6"/>
  <c r="AC116" i="6"/>
  <c r="AF116" i="6"/>
  <c r="Q116" i="6"/>
  <c r="G116" i="6"/>
  <c r="G117" i="6"/>
  <c r="Q117" i="6"/>
  <c r="AC117" i="6"/>
  <c r="L116" i="6"/>
  <c r="R117" i="6"/>
  <c r="AP116" i="6"/>
  <c r="AZ116" i="6"/>
  <c r="AL117" i="6"/>
  <c r="H117" i="6"/>
  <c r="BA118" i="6"/>
  <c r="BB118" i="6" s="1"/>
  <c r="M118" i="6"/>
  <c r="N118" i="6"/>
  <c r="C118" i="6"/>
  <c r="D118" i="6"/>
  <c r="AG118" i="6"/>
  <c r="AH118" i="6" s="1"/>
  <c r="AQ118" i="6"/>
  <c r="AR118" i="6" s="1"/>
  <c r="W118" i="6"/>
  <c r="X118" i="6" s="1"/>
  <c r="A119" i="6"/>
  <c r="AB117" i="6"/>
  <c r="BE116" i="6"/>
  <c r="AV117" i="6"/>
  <c r="BJ116" i="6"/>
  <c r="BF117" i="6"/>
  <c r="BG117" i="6"/>
  <c r="AY118" i="6"/>
  <c r="AN118" i="6"/>
  <c r="AX118" i="6"/>
  <c r="AO118" i="6"/>
  <c r="K118" i="6"/>
  <c r="AD118" i="6"/>
  <c r="T118" i="6"/>
  <c r="J118" i="6"/>
  <c r="U118" i="6"/>
  <c r="AE118" i="6"/>
  <c r="AW117" i="6"/>
  <c r="AU118" i="6"/>
  <c r="AK118" i="6"/>
  <c r="AK117" i="6"/>
  <c r="S117" i="6"/>
  <c r="V117" i="6"/>
  <c r="AA117" i="6"/>
  <c r="Q118" i="6"/>
  <c r="I117" i="6"/>
  <c r="L117" i="6"/>
  <c r="I118" i="6"/>
  <c r="AC118" i="6"/>
  <c r="AP117" i="6"/>
  <c r="AF117" i="6"/>
  <c r="AB118" i="6"/>
  <c r="AZ117" i="6"/>
  <c r="BJ117" i="6"/>
  <c r="BE117" i="6"/>
  <c r="R118" i="6"/>
  <c r="BF118" i="6"/>
  <c r="BG118" i="6"/>
  <c r="AV118" i="6"/>
  <c r="H118" i="6"/>
  <c r="AL118" i="6"/>
  <c r="BA119" i="6"/>
  <c r="BB119" i="6" s="1"/>
  <c r="M119" i="6"/>
  <c r="N119" i="6"/>
  <c r="C119" i="6"/>
  <c r="D119" i="6"/>
  <c r="AQ119" i="6"/>
  <c r="AR119" i="6" s="1"/>
  <c r="W119" i="6"/>
  <c r="X119" i="6" s="1"/>
  <c r="AG119" i="6"/>
  <c r="AH119" i="6" s="1"/>
  <c r="A120" i="6"/>
  <c r="AO119" i="6"/>
  <c r="AY119" i="6"/>
  <c r="AN119" i="6"/>
  <c r="AX119" i="6"/>
  <c r="AD119" i="6"/>
  <c r="J119" i="6"/>
  <c r="U119" i="6"/>
  <c r="K119" i="6"/>
  <c r="AE119" i="6"/>
  <c r="T119" i="6"/>
  <c r="AW118" i="6"/>
  <c r="AU119" i="6"/>
  <c r="AK119" i="6"/>
  <c r="AM118" i="6"/>
  <c r="AP118" i="6"/>
  <c r="AA118" i="6"/>
  <c r="S118" i="6"/>
  <c r="V118" i="6"/>
  <c r="G118" i="6"/>
  <c r="G119" i="6"/>
  <c r="AC119" i="6"/>
  <c r="S119" i="6"/>
  <c r="L118" i="6"/>
  <c r="AF118" i="6"/>
  <c r="AZ118" i="6"/>
  <c r="BA120" i="6"/>
  <c r="BB120" i="6" s="1"/>
  <c r="AG120" i="6"/>
  <c r="AH120" i="6" s="1"/>
  <c r="A121" i="6"/>
  <c r="M120" i="6"/>
  <c r="N120" i="6"/>
  <c r="C120" i="6"/>
  <c r="D120" i="6"/>
  <c r="W120" i="6"/>
  <c r="X120" i="6" s="1"/>
  <c r="AQ120" i="6"/>
  <c r="AR120" i="6" s="1"/>
  <c r="BE118" i="6"/>
  <c r="BJ118" i="6"/>
  <c r="H119" i="6"/>
  <c r="AB119" i="6"/>
  <c r="AL119" i="6"/>
  <c r="BF119" i="6"/>
  <c r="BG119" i="6"/>
  <c r="R119" i="6"/>
  <c r="AV119" i="6"/>
  <c r="AO120" i="6"/>
  <c r="AY120" i="6"/>
  <c r="AX120" i="6"/>
  <c r="AN120" i="6"/>
  <c r="AE120" i="6"/>
  <c r="J120" i="6"/>
  <c r="U120" i="6"/>
  <c r="T120" i="6"/>
  <c r="AD120" i="6"/>
  <c r="K120" i="6"/>
  <c r="AW119" i="6"/>
  <c r="AZ119" i="6"/>
  <c r="AU120" i="6"/>
  <c r="AM119" i="6"/>
  <c r="AK120" i="6"/>
  <c r="AP119" i="6"/>
  <c r="Q119" i="6"/>
  <c r="I119" i="6"/>
  <c r="L119" i="6"/>
  <c r="AA119" i="6"/>
  <c r="AA120" i="6"/>
  <c r="Q120" i="6"/>
  <c r="G120" i="6"/>
  <c r="AL120" i="6"/>
  <c r="AF119" i="6"/>
  <c r="V119" i="6"/>
  <c r="H120" i="6"/>
  <c r="BA121" i="6"/>
  <c r="BB121" i="6" s="1"/>
  <c r="M121" i="6"/>
  <c r="N121" i="6"/>
  <c r="AG121" i="6"/>
  <c r="AH121" i="6" s="1"/>
  <c r="AQ121" i="6"/>
  <c r="AR121" i="6" s="1"/>
  <c r="C121" i="6"/>
  <c r="D121" i="6"/>
  <c r="W121" i="6"/>
  <c r="X121" i="6" s="1"/>
  <c r="A122" i="6"/>
  <c r="AB120" i="6"/>
  <c r="R120" i="6"/>
  <c r="BE119" i="6"/>
  <c r="AV120" i="6"/>
  <c r="BJ119" i="6"/>
  <c r="BF120" i="6"/>
  <c r="BG120" i="6"/>
  <c r="AX121" i="6"/>
  <c r="AN121" i="6"/>
  <c r="AO121" i="6"/>
  <c r="AY121" i="6"/>
  <c r="U121" i="6"/>
  <c r="T121" i="6"/>
  <c r="K121" i="6"/>
  <c r="AD121" i="6"/>
  <c r="AE121" i="6"/>
  <c r="J121" i="6"/>
  <c r="AW120" i="6"/>
  <c r="AU121" i="6"/>
  <c r="AK121" i="6"/>
  <c r="AM120" i="6"/>
  <c r="AP120" i="6"/>
  <c r="AC120" i="6"/>
  <c r="AF120" i="6"/>
  <c r="I120" i="6"/>
  <c r="L120" i="6"/>
  <c r="S120" i="6"/>
  <c r="V120" i="6"/>
  <c r="AA121" i="6"/>
  <c r="Q121" i="6"/>
  <c r="G121" i="6"/>
  <c r="H121" i="6"/>
  <c r="AV121" i="6"/>
  <c r="AL121" i="6"/>
  <c r="AZ120" i="6"/>
  <c r="BF121" i="6"/>
  <c r="BG121" i="6"/>
  <c r="R121" i="6"/>
  <c r="BE120" i="6"/>
  <c r="AB121" i="6"/>
  <c r="BJ120" i="6"/>
  <c r="BA122" i="6"/>
  <c r="BB122" i="6" s="1"/>
  <c r="A123" i="6"/>
  <c r="AQ122" i="6"/>
  <c r="AR122" i="6" s="1"/>
  <c r="M122" i="6"/>
  <c r="N122" i="6"/>
  <c r="C122" i="6"/>
  <c r="D122" i="6"/>
  <c r="AG122" i="6"/>
  <c r="AH122" i="6" s="1"/>
  <c r="W122" i="6"/>
  <c r="X122" i="6" s="1"/>
  <c r="AY122" i="6"/>
  <c r="AN122" i="6"/>
  <c r="AX122" i="6"/>
  <c r="AO122" i="6"/>
  <c r="T122" i="6"/>
  <c r="AD122" i="6"/>
  <c r="J122" i="6"/>
  <c r="AE122" i="6"/>
  <c r="U122" i="6"/>
  <c r="K122" i="6"/>
  <c r="AW121" i="6"/>
  <c r="AU122" i="6"/>
  <c r="AK122" i="6"/>
  <c r="AM121" i="6"/>
  <c r="AP121" i="6"/>
  <c r="Q122" i="6"/>
  <c r="I121" i="6"/>
  <c r="L121" i="6"/>
  <c r="AC121" i="6"/>
  <c r="AF121" i="6"/>
  <c r="AA122" i="6"/>
  <c r="G122" i="6"/>
  <c r="S121" i="6"/>
  <c r="V121" i="6"/>
  <c r="AZ121" i="6"/>
  <c r="H122" i="6"/>
  <c r="AL122" i="6"/>
  <c r="AB122" i="6"/>
  <c r="AV122" i="6"/>
  <c r="BA123" i="6"/>
  <c r="BB123" i="6" s="1"/>
  <c r="AQ123" i="6"/>
  <c r="AR123" i="6" s="1"/>
  <c r="AG123" i="6"/>
  <c r="AH123" i="6" s="1"/>
  <c r="W123" i="6"/>
  <c r="X123" i="6" s="1"/>
  <c r="A124" i="6"/>
  <c r="M123" i="6"/>
  <c r="N123" i="6"/>
  <c r="C123" i="6"/>
  <c r="D123" i="6"/>
  <c r="BF122" i="6"/>
  <c r="BG122" i="6"/>
  <c r="R122" i="6"/>
  <c r="BE121" i="6"/>
  <c r="BJ121" i="6"/>
  <c r="AO123" i="6"/>
  <c r="AY123" i="6"/>
  <c r="AN123" i="6"/>
  <c r="AX123" i="6"/>
  <c r="AD123" i="6"/>
  <c r="J123" i="6"/>
  <c r="AE123" i="6"/>
  <c r="T123" i="6"/>
  <c r="U123" i="6"/>
  <c r="K123" i="6"/>
  <c r="AW122" i="6"/>
  <c r="AW123" i="6"/>
  <c r="AL123" i="6"/>
  <c r="AM122" i="6"/>
  <c r="AP122" i="6"/>
  <c r="S122" i="6"/>
  <c r="V122" i="6"/>
  <c r="AA123" i="6"/>
  <c r="AC122" i="6"/>
  <c r="AF122" i="6"/>
  <c r="H123" i="6"/>
  <c r="I122" i="6"/>
  <c r="L122" i="6"/>
  <c r="AV123" i="6"/>
  <c r="AZ122" i="6"/>
  <c r="AB123" i="6"/>
  <c r="BA124" i="6"/>
  <c r="BB124" i="6" s="1"/>
  <c r="AQ124" i="6"/>
  <c r="AR124" i="6" s="1"/>
  <c r="AG124" i="6"/>
  <c r="AH124" i="6" s="1"/>
  <c r="M124" i="6"/>
  <c r="N124" i="6"/>
  <c r="C124" i="6"/>
  <c r="D124" i="6"/>
  <c r="D22" i="6"/>
  <c r="W124" i="6"/>
  <c r="X124" i="6" s="1"/>
  <c r="BE122" i="6"/>
  <c r="BF123" i="6"/>
  <c r="BG123" i="6"/>
  <c r="R123" i="6"/>
  <c r="BJ122" i="6"/>
  <c r="AO124" i="6"/>
  <c r="AO22" i="6"/>
  <c r="AN124" i="6"/>
  <c r="AN22" i="6"/>
  <c r="AY124" i="6"/>
  <c r="AY22" i="6"/>
  <c r="AX124" i="6"/>
  <c r="AX22" i="6"/>
  <c r="K124" i="6"/>
  <c r="K22" i="6"/>
  <c r="AE124" i="6"/>
  <c r="AE22" i="6"/>
  <c r="T124" i="6"/>
  <c r="T22" i="6"/>
  <c r="J124" i="6"/>
  <c r="J22" i="6"/>
  <c r="AD124" i="6"/>
  <c r="AD22" i="6"/>
  <c r="U124" i="6"/>
  <c r="U22" i="6"/>
  <c r="AQ22" i="6"/>
  <c r="AU124" i="6"/>
  <c r="AU123" i="6"/>
  <c r="AU22" i="6" s="1"/>
  <c r="AL124" i="6"/>
  <c r="AL22" i="6"/>
  <c r="AH22" i="6"/>
  <c r="AC123" i="6"/>
  <c r="AF123" i="6"/>
  <c r="BA22" i="6"/>
  <c r="BB22" i="6"/>
  <c r="W22" i="6"/>
  <c r="C22" i="6"/>
  <c r="AZ123" i="6"/>
  <c r="AB124" i="6"/>
  <c r="AB22" i="6"/>
  <c r="H124" i="6"/>
  <c r="H22" i="6"/>
  <c r="BE123" i="6"/>
  <c r="BJ123" i="6"/>
  <c r="BF124" i="6"/>
  <c r="R124" i="6"/>
  <c r="R22" i="6"/>
  <c r="AV124" i="6"/>
  <c r="AV22" i="6"/>
  <c r="AG22" i="6"/>
  <c r="M22" i="6"/>
  <c r="AK123" i="6"/>
  <c r="AM123" i="6"/>
  <c r="AP123" i="6"/>
  <c r="Q123" i="6"/>
  <c r="S123" i="6"/>
  <c r="V123" i="6"/>
  <c r="G123" i="6"/>
  <c r="I123" i="6"/>
  <c r="L123" i="6"/>
  <c r="AK124" i="6"/>
  <c r="G124" i="6"/>
  <c r="G22" i="6"/>
  <c r="BG124" i="6"/>
  <c r="BG22" i="6"/>
  <c r="AK22" i="6"/>
  <c r="X22" i="6"/>
  <c r="AC124" i="6"/>
  <c r="AR22" i="6"/>
  <c r="AW124" i="6"/>
  <c r="AW22" i="6"/>
  <c r="S124" i="6"/>
  <c r="BE124" i="6"/>
  <c r="BE22" i="6"/>
  <c r="AM124" i="6"/>
  <c r="I124" i="6"/>
  <c r="BF22" i="6"/>
  <c r="AA124" i="6"/>
  <c r="AA22" i="6"/>
  <c r="Q124" i="6"/>
  <c r="L124" i="6"/>
  <c r="L22" i="6"/>
  <c r="I22" i="6"/>
  <c r="BJ124" i="6"/>
  <c r="BJ22" i="6"/>
  <c r="V124" i="6"/>
  <c r="AZ124" i="6"/>
  <c r="AZ22" i="6"/>
  <c r="AC22" i="6"/>
  <c r="AF124" i="6"/>
  <c r="AF22" i="6"/>
  <c r="AP124" i="6"/>
  <c r="AP22" i="6"/>
  <c r="AM22" i="6"/>
  <c r="Y26" i="26"/>
  <c r="X23" i="26"/>
  <c r="D16" i="27"/>
  <c r="AT26" i="26"/>
  <c r="D18" i="27"/>
  <c r="D20" i="27"/>
  <c r="C16" i="27"/>
  <c r="C18" i="27"/>
  <c r="C20" i="27"/>
  <c r="C25" i="27"/>
  <c r="D25" i="27"/>
  <c r="H20" i="27"/>
  <c r="H23" i="27"/>
  <c r="K20" i="27"/>
  <c r="H25" i="27"/>
  <c r="O37" i="17" l="1"/>
  <c r="Y42" i="17"/>
  <c r="E37" i="17"/>
  <c r="N25" i="6"/>
  <c r="Y32" i="17"/>
  <c r="Y25" i="17"/>
  <c r="E79" i="26"/>
  <c r="E59" i="26"/>
  <c r="E39" i="26"/>
  <c r="E34" i="26"/>
  <c r="E30" i="26"/>
  <c r="AA30" i="26" l="1"/>
  <c r="W30" i="26"/>
  <c r="Y30" i="26"/>
  <c r="E23" i="26"/>
  <c r="AA34" i="26"/>
  <c r="W34" i="26"/>
  <c r="AS34" i="26" s="1"/>
  <c r="Y34" i="26"/>
  <c r="AA39" i="26"/>
  <c r="W39" i="26"/>
  <c r="AS39" i="26" s="1"/>
  <c r="Y39" i="26"/>
  <c r="AA59" i="26"/>
  <c r="W59" i="26"/>
  <c r="AS59" i="26" s="1"/>
  <c r="Y59" i="26"/>
  <c r="AA79" i="26"/>
  <c r="W79" i="26"/>
  <c r="AS79" i="26" s="1"/>
  <c r="Y79" i="26"/>
  <c r="AU25" i="17"/>
  <c r="AS25" i="17"/>
  <c r="Y22" i="17"/>
  <c r="AQ32" i="17"/>
  <c r="AU32" i="17"/>
  <c r="AS32" i="17"/>
  <c r="S25" i="6"/>
  <c r="Q25" i="6"/>
  <c r="Q22" i="6" s="1"/>
  <c r="N22" i="6"/>
  <c r="J37" i="17"/>
  <c r="H37" i="17"/>
  <c r="H22" i="17" s="1"/>
  <c r="E22" i="17"/>
  <c r="AQ42" i="17"/>
  <c r="BM42" i="17" s="1"/>
  <c r="AU42" i="17"/>
  <c r="BN42" i="17" s="1"/>
  <c r="AS42" i="17"/>
  <c r="T37" i="17"/>
  <c r="R37" i="17"/>
  <c r="R22" i="17" s="1"/>
  <c r="O22" i="17"/>
  <c r="W37" i="17" l="1"/>
  <c r="W22" i="17" s="1"/>
  <c r="T22" i="17"/>
  <c r="M37" i="17"/>
  <c r="M22" i="17" s="1"/>
  <c r="J22" i="17"/>
  <c r="V25" i="6"/>
  <c r="V22" i="6" s="1"/>
  <c r="S22" i="6"/>
  <c r="BM32" i="17"/>
  <c r="AQ22" i="17"/>
  <c r="AS22" i="17"/>
  <c r="BN25" i="17"/>
  <c r="AU22" i="17"/>
  <c r="AT79" i="26"/>
  <c r="AT59" i="26"/>
  <c r="AT39" i="26"/>
  <c r="AT34" i="26"/>
  <c r="Y23" i="26"/>
  <c r="AS30" i="26"/>
  <c r="AS23" i="26" s="1"/>
  <c r="W23" i="26"/>
  <c r="AT30" i="26"/>
  <c r="AT23" i="26" s="1"/>
  <c r="AA23" i="26"/>
  <c r="H16" i="27" l="1"/>
  <c r="H18" i="27" s="1"/>
  <c r="I18" i="27" s="1"/>
  <c r="AV23" i="26"/>
  <c r="Y24" i="26"/>
  <c r="BM22" i="17"/>
  <c r="BN32" i="17"/>
  <c r="BN22"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Ayman Elmaghrbi</author>
  </authors>
  <commentList>
    <comment ref="G28" authorId="0" shapeId="0" xr:uid="{00000000-0006-0000-0300-000001000000}">
      <text>
        <r>
          <rPr>
            <b/>
            <sz val="9"/>
            <color indexed="81"/>
            <rFont val="Tahoma"/>
            <family val="2"/>
          </rPr>
          <t>Ayman Elmaghrbi:</t>
        </r>
        <r>
          <rPr>
            <sz val="9"/>
            <color indexed="81"/>
            <rFont val="Tahoma"/>
            <family val="2"/>
          </rPr>
          <t xml:space="preserve">
assum 10% retained by the short groyne</t>
        </r>
      </text>
    </comment>
    <comment ref="G70" authorId="0" shapeId="0" xr:uid="{00000000-0006-0000-0300-000006000000}">
      <text>
        <r>
          <rPr>
            <b/>
            <sz val="9"/>
            <color indexed="81"/>
            <rFont val="Tahoma"/>
            <family val="2"/>
          </rPr>
          <t>Ayman Elmaghrbi:</t>
        </r>
        <r>
          <rPr>
            <sz val="9"/>
            <color indexed="81"/>
            <rFont val="Tahoma"/>
            <family val="2"/>
          </rPr>
          <t xml:space="preserve">
Assume 30% of material is retained by east groyne (Frontage C)
</t>
        </r>
      </text>
    </comment>
    <comment ref="G90" authorId="0" shapeId="0" xr:uid="{00000000-0006-0000-0300-000007000000}">
      <text>
        <r>
          <rPr>
            <b/>
            <sz val="9"/>
            <color indexed="81"/>
            <rFont val="Tahoma"/>
            <family val="2"/>
          </rPr>
          <t>Ayman Elmaghrbi:</t>
        </r>
        <r>
          <rPr>
            <sz val="9"/>
            <color indexed="81"/>
            <rFont val="Tahoma"/>
            <family val="2"/>
          </rPr>
          <t xml:space="preserve">
assume 35% is retaind by one long and one short groynes
</t>
        </r>
      </text>
    </comment>
    <comment ref="G110" authorId="0" shapeId="0" xr:uid="{00000000-0006-0000-0300-000008000000}">
      <text>
        <r>
          <rPr>
            <b/>
            <sz val="9"/>
            <color indexed="81"/>
            <rFont val="Tahoma"/>
            <family val="2"/>
          </rPr>
          <t>Ayman Elmaghrbi:</t>
        </r>
        <r>
          <rPr>
            <sz val="9"/>
            <color indexed="81"/>
            <rFont val="Tahoma"/>
            <family val="2"/>
          </rPr>
          <t xml:space="preserve">
assum only 20% is retined by the two groynes as the middle groyne would reduce what 1 long groyne would retain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Green</author>
  </authors>
  <commentList>
    <comment ref="B26" authorId="0" shapeId="0" xr:uid="{4946CD57-52E1-4CD6-A200-5ED2AAA8697A}">
      <text>
        <r>
          <rPr>
            <b/>
            <sz val="9"/>
            <color indexed="81"/>
            <rFont val="Tahoma"/>
            <family val="2"/>
          </rPr>
          <t>Tom Green: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 Green</author>
  </authors>
  <commentList>
    <comment ref="B27" authorId="0" shapeId="0" xr:uid="{088854DF-BD79-44A0-A95B-F1C9F6B58398}">
      <text>
        <r>
          <rPr>
            <b/>
            <sz val="9"/>
            <color indexed="81"/>
            <rFont val="Tahoma"/>
            <family val="2"/>
          </rPr>
          <t>Tom Green: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Ayman Elmaghrbi</author>
  </authors>
  <commentList>
    <comment ref="E101" authorId="0" shapeId="0" xr:uid="{00000000-0006-0000-0400-000001000000}">
      <text>
        <r>
          <rPr>
            <b/>
            <sz val="9"/>
            <color indexed="81"/>
            <rFont val="Tahoma"/>
            <family val="2"/>
          </rPr>
          <t>Ayman Elmaghrbi:</t>
        </r>
        <r>
          <rPr>
            <sz val="9"/>
            <color indexed="81"/>
            <rFont val="Tahoma"/>
            <family val="2"/>
          </rPr>
          <t xml:space="preserve">
£100/m2 is formwork rate we got from S. Martin. We doubled that to account for other costs e.g. labours</t>
        </r>
      </text>
    </comment>
    <comment ref="L101" authorId="0" shapeId="0" xr:uid="{CD6D49B0-35DC-4488-A2BD-815227FBDC40}">
      <text>
        <r>
          <rPr>
            <b/>
            <sz val="9"/>
            <color indexed="81"/>
            <rFont val="Tahoma"/>
            <family val="2"/>
          </rPr>
          <t>Ayman Elmaghrbi:</t>
        </r>
        <r>
          <rPr>
            <sz val="9"/>
            <color indexed="81"/>
            <rFont val="Tahoma"/>
            <family val="2"/>
          </rPr>
          <t xml:space="preserve">
£100/m2 is formwork rate we got from S. Martin. We doubled that to account for other costs e.g. labours</t>
        </r>
      </text>
    </comment>
    <comment ref="E107" authorId="0" shapeId="0" xr:uid="{00000000-0006-0000-0400-000002000000}">
      <text>
        <r>
          <rPr>
            <b/>
            <sz val="9"/>
            <color indexed="81"/>
            <rFont val="Tahoma"/>
            <family val="2"/>
          </rPr>
          <t>Ayman Elmaghrbi:</t>
        </r>
        <r>
          <rPr>
            <sz val="9"/>
            <color indexed="81"/>
            <rFont val="Tahoma"/>
            <family val="2"/>
          </rPr>
          <t xml:space="preserve">
£160/m3 is the rate for concrete we got from S. Martin. It is doubled here to accound for labour and other costs
</t>
        </r>
      </text>
    </comment>
    <comment ref="L107" authorId="0" shapeId="0" xr:uid="{D3E64030-4ACF-4F60-A4FE-0605458AB622}">
      <text>
        <r>
          <rPr>
            <b/>
            <sz val="9"/>
            <color indexed="81"/>
            <rFont val="Tahoma"/>
            <family val="2"/>
          </rPr>
          <t>Ayman Elmaghrbi:</t>
        </r>
        <r>
          <rPr>
            <sz val="9"/>
            <color indexed="81"/>
            <rFont val="Tahoma"/>
            <family val="2"/>
          </rPr>
          <t xml:space="preserve">
£160/m3 is the rate for concrete we got from S. Martin. It is doubled here to accound for labour and other costs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Ayman Elmaghrbi</author>
    <author>Alice Johnson</author>
  </authors>
  <commentList>
    <comment ref="E18" authorId="0" shapeId="0" xr:uid="{406801AF-15D6-43BC-98BF-A0C432D6FE23}">
      <text>
        <r>
          <rPr>
            <b/>
            <sz val="9"/>
            <color indexed="81"/>
            <rFont val="Tahoma"/>
            <family val="2"/>
          </rPr>
          <t>Ayman Elmaghrbi:</t>
        </r>
        <r>
          <rPr>
            <sz val="9"/>
            <color indexed="81"/>
            <rFont val="Tahoma"/>
            <family val="2"/>
          </rPr>
          <t xml:space="preserve">
£160/m3 is the rate for concrete we got from S. Martin. It is doubled here to accound for labour and other costs
</t>
        </r>
      </text>
    </comment>
    <comment ref="I18" authorId="1" shapeId="0" xr:uid="{CF1F6528-D7F9-4A01-9232-6FB9099ECCAB}">
      <text>
        <r>
          <rPr>
            <b/>
            <sz val="9"/>
            <color indexed="81"/>
            <rFont val="Tahoma"/>
            <family val="2"/>
          </rPr>
          <t>Alice Johnson:</t>
        </r>
        <r>
          <rPr>
            <sz val="9"/>
            <color indexed="81"/>
            <rFont val="Tahoma"/>
            <family val="2"/>
          </rPr>
          <t xml:space="preserve">
-0.3m3 which is thickness of wall stem
</t>
        </r>
      </text>
    </comment>
    <comment ref="M18" authorId="0" shapeId="0" xr:uid="{230AC595-0823-45EE-A0F6-C8B764461C36}">
      <text>
        <r>
          <rPr>
            <b/>
            <sz val="9"/>
            <color indexed="81"/>
            <rFont val="Tahoma"/>
            <family val="2"/>
          </rPr>
          <t>Ayman Elmaghrbi:</t>
        </r>
        <r>
          <rPr>
            <sz val="9"/>
            <color indexed="81"/>
            <rFont val="Tahoma"/>
            <family val="2"/>
          </rPr>
          <t xml:space="preserve">
£160/m3 is the rate for concrete we got from S. Martin. It is doubled here to accound for labour and other costs
</t>
        </r>
      </text>
    </comment>
    <comment ref="I31" authorId="1" shapeId="0" xr:uid="{28BEDEF6-727A-4378-95C7-C1EE0FB0EFFD}">
      <text>
        <r>
          <rPr>
            <b/>
            <sz val="9"/>
            <color indexed="81"/>
            <rFont val="Tahoma"/>
            <family val="2"/>
          </rPr>
          <t>Alice Johnson:</t>
        </r>
        <r>
          <rPr>
            <sz val="9"/>
            <color indexed="81"/>
            <rFont val="Tahoma"/>
            <family val="2"/>
          </rPr>
          <t xml:space="preserve">
-0.3m3 which is thickness of wall stem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Anna Kontini</author>
  </authors>
  <commentList>
    <comment ref="E8" authorId="0" shapeId="0" xr:uid="{00000000-0006-0000-0500-000001000000}">
      <text>
        <r>
          <rPr>
            <b/>
            <sz val="9"/>
            <color indexed="81"/>
            <rFont val="Tahoma"/>
            <family val="2"/>
          </rPr>
          <t>Anna Kontini:</t>
        </r>
        <r>
          <rPr>
            <sz val="9"/>
            <color indexed="81"/>
            <rFont val="Tahoma"/>
            <family val="2"/>
          </rPr>
          <t xml:space="preserve">
Due to designed beach profile changed to straight line 25% decrease of the initial volume has been excluded from calculations.  (The triangle was calculated to have 2100m^2 area and we accounted for 4.2m average height of beach reprofiling).</t>
        </r>
      </text>
    </comment>
  </commentList>
</comments>
</file>

<file path=xl/sharedStrings.xml><?xml version="1.0" encoding="utf-8"?>
<sst xmlns="http://schemas.openxmlformats.org/spreadsheetml/2006/main" count="1440" uniqueCount="395">
  <si>
    <t>total</t>
  </si>
  <si>
    <t>Contractors’ fees</t>
  </si>
  <si>
    <t>Cost consultants’ fees</t>
  </si>
  <si>
    <t>Site investigation and survey</t>
  </si>
  <si>
    <t>Construction</t>
  </si>
  <si>
    <t>Land purchase &amp; compensation</t>
  </si>
  <si>
    <t>m3</t>
  </si>
  <si>
    <t>Client/Authority</t>
  </si>
  <si>
    <t>Project name</t>
  </si>
  <si>
    <t>Project reference</t>
  </si>
  <si>
    <t>Base date for estimates (year 0)</t>
  </si>
  <si>
    <t>Scaling factor (e.g. £m, £k, £)</t>
  </si>
  <si>
    <t>Initial discount rate</t>
  </si>
  <si>
    <t>TOTALS:</t>
  </si>
  <si>
    <t>PV</t>
  </si>
  <si>
    <t>Capital</t>
  </si>
  <si>
    <t>Maint.</t>
  </si>
  <si>
    <t>Other</t>
  </si>
  <si>
    <t>Negative costs</t>
  </si>
  <si>
    <t>Cash</t>
  </si>
  <si>
    <t>Maint</t>
  </si>
  <si>
    <t>cash sum</t>
  </si>
  <si>
    <t>Discount</t>
  </si>
  <si>
    <t>year</t>
  </si>
  <si>
    <t>Factor</t>
  </si>
  <si>
    <t>East Devon District Council</t>
  </si>
  <si>
    <t>Item</t>
  </si>
  <si>
    <t>Sum</t>
  </si>
  <si>
    <t>frequency (every x years)</t>
  </si>
  <si>
    <t>£</t>
  </si>
  <si>
    <t>Sidmouth Beach Management Plan</t>
  </si>
  <si>
    <t>Year of construction:</t>
  </si>
  <si>
    <t>Total PV cost</t>
  </si>
  <si>
    <t>sum</t>
  </si>
  <si>
    <t>Option S1.1b</t>
  </si>
  <si>
    <t>Option S1.1c</t>
  </si>
  <si>
    <t>Option S1.1a</t>
  </si>
  <si>
    <t>Option S1.1d</t>
  </si>
  <si>
    <t>Option S1.1e</t>
  </si>
  <si>
    <t xml:space="preserve">  </t>
  </si>
  <si>
    <t>Initial Capital Cost</t>
  </si>
  <si>
    <t>Frontage</t>
  </si>
  <si>
    <t>1no. 120m Long rock groyne</t>
  </si>
  <si>
    <t>2no. 60m Long rock groyne</t>
  </si>
  <si>
    <t>2no. 120m Long rock groyne</t>
  </si>
  <si>
    <t>Frontage B (ST)</t>
  </si>
  <si>
    <t>Frontage C (EB)</t>
  </si>
  <si>
    <t>Frontage D (RS)</t>
  </si>
  <si>
    <t>1no. 60m Long and 1no. 120m long rock groyne</t>
  </si>
  <si>
    <t>Ongoing Costs</t>
  </si>
  <si>
    <t>Repair River Sid River Wall (Adjacent to the Ham)</t>
  </si>
  <si>
    <t xml:space="preserve">I think there is a initial capital recharge </t>
  </si>
  <si>
    <t>Good.</t>
  </si>
  <si>
    <t>The last recharge was mid 1980's  I think 30m curved crest will disappear quickly so recharge every 10 years is good figure</t>
  </si>
  <si>
    <t>I think these two options are not likely to provide the technical requirements for the project</t>
  </si>
  <si>
    <t>These three options I think will all technically work, I don’t think there are much more benefits for the intermediate groyne</t>
  </si>
  <si>
    <t>We did try to call them a terminal and intermediate groyne</t>
  </si>
  <si>
    <t>I think the rate for the seaward end of the longer groyne may be more expensive as harder conditions as in the water.  May need to uplift the rates</t>
  </si>
  <si>
    <t xml:space="preserve">Site investigation and survey = </t>
  </si>
  <si>
    <t>Environmental mitigation = None</t>
  </si>
  <si>
    <t xml:space="preserve">Environmental enhancement = None </t>
  </si>
  <si>
    <t xml:space="preserve">Other (specify) </t>
  </si>
  <si>
    <t>Other Costs</t>
  </si>
  <si>
    <t xml:space="preserve">Site supervision </t>
  </si>
  <si>
    <t>Rate</t>
  </si>
  <si>
    <t>Quantity</t>
  </si>
  <si>
    <t>Consultants’ fees - Detailed design Consultant = 2.5%</t>
  </si>
  <si>
    <t xml:space="preserve">Quantity </t>
  </si>
  <si>
    <t xml:space="preserve">Total </t>
  </si>
  <si>
    <t xml:space="preserve">1no. 60m Long rock groyne </t>
  </si>
  <si>
    <t>Beach Recharge</t>
  </si>
  <si>
    <t>Repair river Sid Training Wall (Seaward structure)</t>
  </si>
  <si>
    <t>Repair River Sid Training Wall (Seaward structure)</t>
  </si>
  <si>
    <t xml:space="preserve">Frontage D (RS) </t>
  </si>
  <si>
    <t>Make safe street furniture lighting and drainage etc</t>
  </si>
  <si>
    <t>Reinstate street features</t>
  </si>
  <si>
    <t xml:space="preserve">Flood gates </t>
  </si>
  <si>
    <t>Maintenance to gates</t>
  </si>
  <si>
    <t>Mamahead = £62k for 60m  therefore this at @600m = £600k</t>
  </si>
  <si>
    <t>I would move this to maintenance and put £5k every year</t>
  </si>
  <si>
    <t>Good</t>
  </si>
  <si>
    <t xml:space="preserve">Supplied from the town beach. </t>
  </si>
  <si>
    <t>@ 50% due to the recycling form East beach</t>
  </si>
  <si>
    <t>Nr</t>
  </si>
  <si>
    <t>Boat users ramp</t>
  </si>
  <si>
    <t xml:space="preserve">Town beach </t>
  </si>
  <si>
    <t xml:space="preserve">East beach </t>
  </si>
  <si>
    <t xml:space="preserve">Initial nourishment </t>
  </si>
  <si>
    <t>1 short</t>
  </si>
  <si>
    <t>2 short</t>
  </si>
  <si>
    <t xml:space="preserve">1 long </t>
  </si>
  <si>
    <t xml:space="preserve">2 long </t>
  </si>
  <si>
    <t>1 long 1 short</t>
  </si>
  <si>
    <t>Short 60-70m similar to town groynes</t>
  </si>
  <si>
    <t>Recycling</t>
  </si>
  <si>
    <t>Long ~ 120m enough to hold a beach similar to Jacobs ladder</t>
  </si>
  <si>
    <t xml:space="preserve">External Nourishment </t>
  </si>
  <si>
    <t>Won't technically hold enough material to protect cliff, some will be supplied from the town frontage as that is lost. Nourish every 3-4 years</t>
  </si>
  <si>
    <t>No specific nourishment required for contingency say ever 30 years.</t>
  </si>
  <si>
    <t>No spare materail to recycle</t>
  </si>
  <si>
    <t>If the groyne length is design just enough to hold cliff at east beach then there will not be spare to recycle.</t>
  </si>
  <si>
    <t>Even longer single groyne</t>
  </si>
  <si>
    <t>as 1 long groyne</t>
  </si>
  <si>
    <t>Rarely = 50 years as most of the time this will be bigger than required</t>
  </si>
  <si>
    <t xml:space="preserve">Receiving additional material there none to recycle. </t>
  </si>
  <si>
    <t>(*) There may be a small saving by re-using surpless materails from behind breakwaters, not accounted for.</t>
  </si>
  <si>
    <t>Same (*) = 36,232 m3</t>
  </si>
  <si>
    <t>These don’t hold enough beach and therefore can add more but it wont stay for long before bypassing to the east.</t>
  </si>
  <si>
    <t>Same at least  10 years,  as it was initially nourished 1995 ish and gone by 2007.  I think this needs a sensitivity check for ever 5 years to see how that affects costs, I would be upset if it is gone in less than 5 years but that may happen in a couple of bad winters. (**)</t>
  </si>
  <si>
    <t>(**) I would like the modelling to join up and that this is a more evidenced number than off the monitoring alone, though the modelling is somewhat matched to the monitoring it can then give an idea of what shape eg more is lost initally and then it settles to its more equilibruim limited beach shape we now see.</t>
  </si>
  <si>
    <t>Every 5-10 years, as required by town beach</t>
  </si>
  <si>
    <t>Sub total</t>
  </si>
  <si>
    <t>Boat Users Ramp</t>
  </si>
  <si>
    <t xml:space="preserve">Option S1.1a
1 Short Groyne </t>
  </si>
  <si>
    <t>Option S1.1b
2 Short Groynes</t>
  </si>
  <si>
    <t>Option S1.1c
1 Long Groyne</t>
  </si>
  <si>
    <t>-</t>
  </si>
  <si>
    <t xml:space="preserve">Frequency </t>
  </si>
  <si>
    <t xml:space="preserve">Cost </t>
  </si>
  <si>
    <t>Maintain Flood Gates Fron. B</t>
  </si>
  <si>
    <t>Recharge Fron. B</t>
  </si>
  <si>
    <t>Recycle Fron. B</t>
  </si>
  <si>
    <t>Recharge Fron. C</t>
  </si>
  <si>
    <t>Repiar River Wall Fron. D</t>
  </si>
  <si>
    <t>Maintain Front. A</t>
  </si>
  <si>
    <t>Option S1.1d
1 Long &amp; 1 short Groynes</t>
  </si>
  <si>
    <t>Option S1.1e
2 Long  Groynes</t>
  </si>
  <si>
    <t xml:space="preserve">1 Short Groyne </t>
  </si>
  <si>
    <t>2 Long  Groynes</t>
  </si>
  <si>
    <t>1 Long Groyne</t>
  </si>
  <si>
    <t>2 Short Groynes</t>
  </si>
  <si>
    <t>1 Long &amp; 1 Short Groynes</t>
  </si>
  <si>
    <t>CH</t>
  </si>
  <si>
    <t>Beach Profile 
mOD</t>
  </si>
  <si>
    <t>Crest Design Level 
mOD</t>
  </si>
  <si>
    <t>Crest Width 
m</t>
  </si>
  <si>
    <t>Width at base
m</t>
  </si>
  <si>
    <t>Area Trapiziod
m2</t>
  </si>
  <si>
    <t>Volume 
m3</t>
  </si>
  <si>
    <t xml:space="preserve">Long Groyne Volume </t>
  </si>
  <si>
    <t>Total</t>
  </si>
  <si>
    <t>Side Slopes 
1:</t>
  </si>
  <si>
    <t>Unit</t>
  </si>
  <si>
    <t>Beach Recycle from Frontage C (EB)</t>
  </si>
  <si>
    <t>SIDMOUTH ECI</t>
  </si>
  <si>
    <t>SITE PRELIMS</t>
  </si>
  <si>
    <t>BUDGET COST</t>
  </si>
  <si>
    <t>COMMENTS</t>
  </si>
  <si>
    <t>Frontage B</t>
  </si>
  <si>
    <t xml:space="preserve">Make safe street furniture, lighting etc </t>
  </si>
  <si>
    <t>Construct splash wall inc remove old, brick facing &amp; coping, Reinstate road &amp; promenade, drains etc</t>
  </si>
  <si>
    <t>Flood gates</t>
  </si>
  <si>
    <t>no</t>
  </si>
  <si>
    <t>Reinstate Street furniture &amp; lighting</t>
  </si>
  <si>
    <t>Beach recharge</t>
  </si>
  <si>
    <t>Frontage C</t>
  </si>
  <si>
    <t>120m long rock groyne - Class 1 rock 8-12t assume 1.8t/m3</t>
  </si>
  <si>
    <t>Maintenance Access Ramp</t>
  </si>
  <si>
    <t>Frontage D</t>
  </si>
  <si>
    <t>River Sid Training wall encasement - 200mm thick fibre concrete</t>
  </si>
  <si>
    <t>INITIAL CAPITAL COST</t>
  </si>
  <si>
    <t>Further staff 
costs</t>
  </si>
  <si>
    <t>Consultants’ 
fees</t>
  </si>
  <si>
    <t>Contractors’ 
fees</t>
  </si>
  <si>
    <t>Cost consultants’
 fees</t>
  </si>
  <si>
    <t>Existing staff 
costs</t>
  </si>
  <si>
    <t>Further staff
costs</t>
  </si>
  <si>
    <t>Site investigation 
and survey</t>
  </si>
  <si>
    <t>Construction 
costs</t>
  </si>
  <si>
    <r>
      <t xml:space="preserve">Inflation 
allowance for </t>
    </r>
    <r>
      <rPr>
        <sz val="9"/>
        <color theme="1"/>
        <rFont val="Arial"/>
        <family val="2"/>
      </rPr>
      <t>   </t>
    </r>
    <r>
      <rPr>
        <sz val="10"/>
        <color theme="1"/>
        <rFont val="Arial"/>
        <family val="2"/>
      </rPr>
      <t xml:space="preserve"> months</t>
    </r>
  </si>
  <si>
    <t>Environmental 
enhancement</t>
  </si>
  <si>
    <t>Environmental
mitigation</t>
  </si>
  <si>
    <t>Site 
supervision</t>
  </si>
  <si>
    <t>Cost consultants’ 
fees</t>
  </si>
  <si>
    <t>Land purchase &amp; 
compensation</t>
  </si>
  <si>
    <t>Inflation allowance</t>
  </si>
  <si>
    <t>Mobilise dredging</t>
  </si>
  <si>
    <t>Construction Costs</t>
  </si>
  <si>
    <t>Rev M cost</t>
  </si>
  <si>
    <t>Rev N cost</t>
  </si>
  <si>
    <t>Gain</t>
  </si>
  <si>
    <t>Cost Decrease Achieved</t>
  </si>
  <si>
    <t>Formwork</t>
  </si>
  <si>
    <t>Side</t>
  </si>
  <si>
    <t>west</t>
  </si>
  <si>
    <t>east</t>
  </si>
  <si>
    <t>Concrete mass</t>
  </si>
  <si>
    <r>
      <t>Contact Area (m</t>
    </r>
    <r>
      <rPr>
        <b/>
        <sz val="11"/>
        <color theme="1"/>
        <rFont val="Calibri"/>
        <family val="2"/>
      </rPr>
      <t>²)</t>
    </r>
  </si>
  <si>
    <r>
      <t>Rate          (£/m</t>
    </r>
    <r>
      <rPr>
        <b/>
        <sz val="11"/>
        <color theme="1"/>
        <rFont val="Calibri"/>
        <family val="2"/>
      </rPr>
      <t>²)</t>
    </r>
  </si>
  <si>
    <t xml:space="preserve">Cost          </t>
  </si>
  <si>
    <t xml:space="preserve">Subtotal  </t>
  </si>
  <si>
    <r>
      <t>Area (m</t>
    </r>
    <r>
      <rPr>
        <b/>
        <sz val="11"/>
        <color theme="1"/>
        <rFont val="Calibri"/>
        <family val="2"/>
      </rPr>
      <t>²)</t>
    </r>
  </si>
  <si>
    <t>Width (m)</t>
  </si>
  <si>
    <r>
      <t>Volume (m</t>
    </r>
    <r>
      <rPr>
        <b/>
        <sz val="11"/>
        <color theme="1"/>
        <rFont val="Calibri"/>
        <family val="2"/>
      </rPr>
      <t>³</t>
    </r>
    <r>
      <rPr>
        <b/>
        <sz val="8.8000000000000007"/>
        <color theme="1"/>
        <rFont val="Calibri"/>
        <family val="2"/>
      </rPr>
      <t>)</t>
    </r>
  </si>
  <si>
    <t xml:space="preserve">Slab costing </t>
  </si>
  <si>
    <t xml:space="preserve">Ramp v2 costing </t>
  </si>
  <si>
    <t>Excavations</t>
  </si>
  <si>
    <t>South</t>
  </si>
  <si>
    <t>north-east</t>
  </si>
  <si>
    <t>Thickness (m)</t>
  </si>
  <si>
    <t>Assumed Φ16/150mm top and bottom</t>
  </si>
  <si>
    <r>
      <t>Rate          (£/tonnes</t>
    </r>
    <r>
      <rPr>
        <b/>
        <sz val="11"/>
        <color theme="1"/>
        <rFont val="Calibri"/>
        <family val="2"/>
      </rPr>
      <t>)</t>
    </r>
  </si>
  <si>
    <t>Total Weight (tonnes)</t>
  </si>
  <si>
    <t>Number of bars needed</t>
  </si>
  <si>
    <t>Direction</t>
  </si>
  <si>
    <t>x</t>
  </si>
  <si>
    <t>y</t>
  </si>
  <si>
    <t>Length (m)</t>
  </si>
  <si>
    <t>Total weight of reinfrocement = Number * length * weight per meter</t>
  </si>
  <si>
    <t>Weight per meter of 16DIA bars=1.58kg/m)</t>
  </si>
  <si>
    <t xml:space="preserve">Rate given for excavations is equal to 2000£/day </t>
  </si>
  <si>
    <t>Rate (£/m^3)</t>
  </si>
  <si>
    <t>We assume that volume excavated will be reused for the filling under the slab</t>
  </si>
  <si>
    <t>Total cost for Ramp and Slab</t>
  </si>
  <si>
    <t xml:space="preserve">Beach profile which is being recharged has been reduced in order to correspond to a linear profile compared to the first assumption of an accumulated profile </t>
  </si>
  <si>
    <t>Slab and Ramp</t>
  </si>
  <si>
    <t>Encasement</t>
  </si>
  <si>
    <t>west and east</t>
  </si>
  <si>
    <t>Total cost for Training arm</t>
  </si>
  <si>
    <t>Training Arm Encasement</t>
  </si>
  <si>
    <t>Updated according to Construction Costing sheet</t>
  </si>
  <si>
    <t>Seawall section IV</t>
  </si>
  <si>
    <t>Joints and sealant</t>
  </si>
  <si>
    <t>Refer to Construction cost sheet for construction cost of the ramp</t>
  </si>
  <si>
    <t>Length=100m+198m+170m</t>
  </si>
  <si>
    <t>Length=140m</t>
  </si>
  <si>
    <t>Giving a rate of 40£/cu.m.for excavations</t>
  </si>
  <si>
    <t>We assume that 50cu.m. are excavated per day</t>
  </si>
  <si>
    <t>Since the the shape of the existing foundations is unknown 40% of the volume has been assumed to need excavation</t>
  </si>
  <si>
    <t>Height (m)</t>
  </si>
  <si>
    <t>seaword</t>
  </si>
  <si>
    <t>landword</t>
  </si>
  <si>
    <t xml:space="preserve">Splash Wall </t>
  </si>
  <si>
    <t>Bays I,II,III</t>
  </si>
  <si>
    <r>
      <t>Formwork Area (m</t>
    </r>
    <r>
      <rPr>
        <b/>
        <sz val="11"/>
        <color theme="1"/>
        <rFont val="Calibri"/>
        <family val="2"/>
      </rPr>
      <t>²)</t>
    </r>
  </si>
  <si>
    <t>Demountable defences</t>
  </si>
  <si>
    <t>We estimate that there will be 50m of demountable defences</t>
  </si>
  <si>
    <t xml:space="preserve">Rate for demountable defences is £1,000 per 1m run </t>
  </si>
  <si>
    <t xml:space="preserve">Total cost for Splash Wall </t>
  </si>
  <si>
    <t>Refer to construction costing tab</t>
  </si>
  <si>
    <t xml:space="preserve">Cladding to splash wall has been removed </t>
  </si>
  <si>
    <t xml:space="preserve">Assume splash wall in bays I, II and III will be 1m above ground level. </t>
  </si>
  <si>
    <t>Assume splash wall is 1.3m above ground level in bay IV</t>
  </si>
  <si>
    <t>End bit</t>
  </si>
  <si>
    <t>Slab Reinforcment Steel</t>
  </si>
  <si>
    <t>Ramp to key into rock (Breaking out bedrock)</t>
  </si>
  <si>
    <t>Risk - Monte Carlo 50%</t>
  </si>
  <si>
    <t>Risk - Monte Carlo 50% - Capital</t>
  </si>
  <si>
    <t>Risk - Monte Carlo 50% - Maintenance</t>
  </si>
  <si>
    <t xml:space="preserve">Stone wall complete </t>
  </si>
  <si>
    <t>50% stone wall 50% Glass pannels</t>
  </si>
  <si>
    <t>Formwork+Cladding</t>
  </si>
  <si>
    <t>Glass pannels</t>
  </si>
  <si>
    <r>
      <t>Rate          (£/m</t>
    </r>
    <r>
      <rPr>
        <b/>
        <sz val="11"/>
        <color theme="1"/>
        <rFont val="Calibri"/>
        <family val="2"/>
      </rPr>
      <t>)</t>
    </r>
  </si>
  <si>
    <t>cladding length</t>
  </si>
  <si>
    <t>Stone Cladding</t>
  </si>
  <si>
    <t>Rate          (m²)</t>
  </si>
  <si>
    <t>Area (m²)</t>
  </si>
  <si>
    <t>Volume (m³)</t>
  </si>
  <si>
    <t>Rate          (£/m²)</t>
  </si>
  <si>
    <t xml:space="preserve">Area for glass foundation </t>
  </si>
  <si>
    <t>Length @50% (m)</t>
  </si>
  <si>
    <t xml:space="preserve">Total cost for Stone Clad Splash Wall </t>
  </si>
  <si>
    <t>Total cost for Splash Wall 50% stone 50% glass</t>
  </si>
  <si>
    <t>Flood Glass</t>
  </si>
  <si>
    <t>New cost Feb 21</t>
  </si>
  <si>
    <t>RC plus Clad</t>
  </si>
  <si>
    <t>flood glass</t>
  </si>
  <si>
    <t>demountable</t>
  </si>
  <si>
    <t>Excavation</t>
  </si>
  <si>
    <t>Are you able to state how much the half stone clad wall is per linear metre?</t>
  </si>
  <si>
    <t>Or even better the cost of the glass top section for the whole wall?  As we will probably look at a cheaper top section.</t>
  </si>
  <si>
    <t>Forward Riv email</t>
  </si>
  <si>
    <t>with and without RC</t>
  </si>
  <si>
    <t>half height</t>
  </si>
  <si>
    <t>full height 250m</t>
  </si>
  <si>
    <t xml:space="preserve">Assume splash wall in bays I, II and III will be 0.5m above ground level. </t>
  </si>
  <si>
    <t>New total for PF Calc</t>
  </si>
  <si>
    <t>2018 Costs</t>
  </si>
  <si>
    <t>SS by the below - used in PF Calc submitted 20/02/21</t>
  </si>
  <si>
    <t>used in PF Calc submitted 22/02/21</t>
  </si>
  <si>
    <t>assumed town frontage and 0.5m height - no glass on final frontage iV</t>
  </si>
  <si>
    <t>assumes 500mm glass</t>
  </si>
  <si>
    <t>Option S4</t>
  </si>
  <si>
    <t xml:space="preserve">Option S4 </t>
  </si>
  <si>
    <t>Supervision</t>
  </si>
  <si>
    <t>Walfare, Offices and Sundries</t>
  </si>
  <si>
    <t>Mobilise Plant, Compound Setup</t>
  </si>
  <si>
    <t>Demob plant, reinstate compound</t>
  </si>
  <si>
    <t>Remains same as VO updated costs</t>
  </si>
  <si>
    <t>Increased from 25k to 30k</t>
  </si>
  <si>
    <t>Increased from 12 to 14 and from 15k to 18k</t>
  </si>
  <si>
    <t>Increased from 14 to 11 and from 15k to 18k</t>
  </si>
  <si>
    <t>Remains unchanged</t>
  </si>
  <si>
    <t>Rate updated from 31.9 to 30.94</t>
  </si>
  <si>
    <t>Increased from 93k to 443k</t>
  </si>
  <si>
    <t>Increased by 180k to 500k</t>
  </si>
  <si>
    <t>Increased from 650k to 1,813k</t>
  </si>
  <si>
    <t>Reduced from 180 to 166</t>
  </si>
  <si>
    <t>Mobilise rockworks onshore</t>
  </si>
  <si>
    <t>New items added from VO updates costs</t>
  </si>
  <si>
    <t>Remove existing wall &amp; Basic Splash wall to rear of seafront promenade</t>
  </si>
  <si>
    <t>Costs merged, and increased from 790k to 1.9k</t>
  </si>
  <si>
    <t>New rock breakwater added</t>
  </si>
  <si>
    <t>2 long</t>
  </si>
  <si>
    <t xml:space="preserve">Derived as an average of potential impact on hotels / businesses. </t>
  </si>
  <si>
    <t xml:space="preserve">Other consultants - Landscape, phisical modelling </t>
  </si>
  <si>
    <t>ECI</t>
  </si>
  <si>
    <t>Assuming at least 4 meetings</t>
  </si>
  <si>
    <t>Option 4:</t>
  </si>
  <si>
    <t>One Offshore Breakwater</t>
  </si>
  <si>
    <t>1no. Offshore breakwater</t>
  </si>
  <si>
    <t xml:space="preserve">2.5% of construction costs </t>
  </si>
  <si>
    <t xml:space="preserve">Future staff costs </t>
  </si>
  <si>
    <t>from EDDC email on 07/10/22</t>
  </si>
  <si>
    <t>RHDHV cost to date to be included in overall request for funding</t>
  </si>
  <si>
    <t>Table 5 and 6</t>
  </si>
  <si>
    <t>Previous project</t>
  </si>
  <si>
    <t>Partly sunk costs as it includes part of RHDHV costs - NOT TO BE REPORTED IN TABLE 6</t>
  </si>
  <si>
    <t>Note: Maintenance for Connaught Garden deleted</t>
  </si>
  <si>
    <t>Year 1</t>
  </si>
  <si>
    <t>Year 2</t>
  </si>
  <si>
    <r>
      <t xml:space="preserve">Future costs year 1 including Professional Advice, (excluding </t>
    </r>
    <r>
      <rPr>
        <sz val="10"/>
        <rFont val="Arial"/>
        <family val="2"/>
      </rPr>
      <t>salary),</t>
    </r>
    <r>
      <rPr>
        <sz val="10"/>
        <color rgb="FFFF0000"/>
        <rFont val="Arial"/>
        <family val="2"/>
      </rPr>
      <t xml:space="preserve"> </t>
    </r>
    <r>
      <rPr>
        <sz val="10"/>
        <rFont val="Arial"/>
        <family val="2"/>
      </rPr>
      <t>site investigation and survey</t>
    </r>
  </si>
  <si>
    <t>Construction costs, supervision, land purchase</t>
  </si>
  <si>
    <t>Risk 95%ile</t>
  </si>
  <si>
    <t>salary</t>
  </si>
  <si>
    <t>Professional advice</t>
  </si>
  <si>
    <t>Compensation</t>
  </si>
  <si>
    <t>Total cost</t>
  </si>
  <si>
    <t>Optimism Bias 15.6%</t>
  </si>
  <si>
    <t>Overall risk</t>
  </si>
  <si>
    <t>Dredging or other site investigation and surveys needed</t>
  </si>
  <si>
    <t>PC1679 - OBC from P1679_Inflation_Optimism Bias_v01 (19/10/22) - Not linked to file</t>
  </si>
  <si>
    <t>Costs taken from Van Oord estimate on 24/03/2022 and revised to exclude wall cladding</t>
  </si>
  <si>
    <t>Van Oord March 2022 and subsequent emails</t>
  </si>
  <si>
    <t>OPTIONS 4</t>
  </si>
  <si>
    <t>Option 1.1c:</t>
  </si>
  <si>
    <t>Risk - Monte Carlo 95%</t>
  </si>
  <si>
    <t>Risk - Monte Carlo 95% - Capital</t>
  </si>
  <si>
    <t>Risk - OB Future Costs</t>
  </si>
  <si>
    <t>Including ECC PM and ECC Supervisor</t>
  </si>
  <si>
    <t>Added Demountable defences £30,000</t>
  </si>
  <si>
    <t>Maintenance to demountable defences</t>
  </si>
  <si>
    <t>Replacement to demountable defences</t>
  </si>
  <si>
    <t>to be included in overall request for funding</t>
  </si>
  <si>
    <t>Supervision and ECC PM</t>
  </si>
  <si>
    <t>Source of Funding</t>
  </si>
  <si>
    <t>Local Levy</t>
  </si>
  <si>
    <t>Contributions 3 – Devon County Council</t>
  </si>
  <si>
    <t>Contributions 4 – Sidmouth Town Council (1)</t>
  </si>
  <si>
    <t>Contributions 5 – Sidmouth Life Boat (2)</t>
  </si>
  <si>
    <t>Contributions 6 – Cliff Road Action Group (GRAG) (3)</t>
  </si>
  <si>
    <t>Contributions 7 – EDDC Housing</t>
  </si>
  <si>
    <t>Total funding</t>
  </si>
  <si>
    <t>Cost less contingency</t>
  </si>
  <si>
    <t>Contingency</t>
  </si>
  <si>
    <t>2023/24</t>
  </si>
  <si>
    <t>2024/25</t>
  </si>
  <si>
    <t>2025/26</t>
  </si>
  <si>
    <t>2026/27</t>
  </si>
  <si>
    <t>Contributions</t>
  </si>
  <si>
    <t>Contributions 1 - East Devon District Council Risk Budget Contribution</t>
  </si>
  <si>
    <t>Contributions 2 – East Devon District Council Up front contribution</t>
  </si>
  <si>
    <t>Year of Contribution</t>
  </si>
  <si>
    <t>Sector</t>
  </si>
  <si>
    <t>Public Sector</t>
  </si>
  <si>
    <t>Private &amp; Voluntary</t>
  </si>
  <si>
    <t xml:space="preserve">Total Cash Value </t>
  </si>
  <si>
    <t>PV Value</t>
  </si>
  <si>
    <t>Scheme Cash Costs</t>
  </si>
  <si>
    <t>FDGiA Required</t>
  </si>
  <si>
    <t>FDGiA Available (PV)</t>
  </si>
  <si>
    <t>Inflation (on PV Costs)</t>
  </si>
  <si>
    <t>Offshore breakwater</t>
  </si>
  <si>
    <t>Rock groyne</t>
  </si>
  <si>
    <t>Repair River Sid training wall</t>
  </si>
  <si>
    <t>Sub-total</t>
  </si>
  <si>
    <t>Contractor costs &amp; prelims</t>
  </si>
  <si>
    <t>Splash Wall/Demountable defences</t>
  </si>
  <si>
    <r>
      <t xml:space="preserve">Future costs year 1 including Professional Advice, (excluding </t>
    </r>
    <r>
      <rPr>
        <sz val="10"/>
        <rFont val="Arial"/>
        <family val="2"/>
      </rPr>
      <t>salary)</t>
    </r>
  </si>
  <si>
    <t>Overall Inflation value PV</t>
  </si>
  <si>
    <t>Overall Inflation value Cash</t>
  </si>
  <si>
    <t>Ready for service.</t>
  </si>
  <si>
    <t>Construction Complete</t>
  </si>
  <si>
    <t>Construction Commence</t>
  </si>
  <si>
    <t>Mobilisation</t>
  </si>
  <si>
    <t>Award Contractor</t>
  </si>
  <si>
    <t>Tender Contractor</t>
  </si>
  <si>
    <t>Planning &amp; consents Process</t>
  </si>
  <si>
    <t>Commence Detailed Design Stage</t>
  </si>
  <si>
    <t>Appoint Consultant</t>
  </si>
  <si>
    <t>Tender Consultant for Detailed design phase</t>
  </si>
  <si>
    <t>OBC approved</t>
  </si>
  <si>
    <t>Submit OBC to Environment Agency for Assurance</t>
  </si>
  <si>
    <t>Training for demountable defences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</si>
</sst>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mmm\-yyyy"/>
    <numFmt numFmtId="165" formatCode="0.0%"/>
    <numFmt numFmtId="166" formatCode="0.000"/>
    <numFmt numFmtId="167" formatCode="_-* #,##0_-;\-* #,##0_-;_-* &quot;-&quot;??_-;_-@_-"/>
    <numFmt numFmtId="168" formatCode="_-&quot;£&quot;* #,##0_-;\-&quot;£&quot;* #,##0_-;_-&quot;£&quot;* &quot;-&quot;??_-;_-@_-"/>
    <numFmt numFmtId="169" formatCode="#,##0_ ;\-#,##0\ "/>
    <numFmt numFmtId="170" formatCode="0.0000"/>
    <numFmt numFmtId="171" formatCode="&quot;£&quot;#,##0.00"/>
    <numFmt numFmtId="172" formatCode="[$£-809]#,##0.00"/>
    <numFmt numFmtId="173" formatCode="_-* #,##0_-;\-* #,##0_-;_-* &quot;-&quot;?_-;_-@_-"/>
    <numFmt numFmtId="174" formatCode="_-* #,##0.0000000_-;\-* #,##0.0000000_-;_-* &quot;-&quot;??_-;_-@_-"/>
    <numFmt numFmtId="175" formatCode="&quot;£&quot;#,##0"/>
  </numFmts>
  <fonts count="34"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0"/>
      <color theme="1"/>
      <name val="Arial"/>
      <family val="2"/>
    </font>
    <font>
      <sz val="9"/>
      <color theme="1"/>
      <name val="Arial"/>
      <family val="2"/>
    </font>
    <font>
      <sz val="11"/>
      <color theme="1"/>
      <name val="Calibri"/>
      <family val="2"/>
      <scheme val="minor"/>
    </font>
    <font>
      <sz val="10"/>
      <name val="Arial"/>
      <family val="2"/>
    </font>
    <font>
      <b/>
      <sz val="10"/>
      <name val="Arial"/>
      <family val="2"/>
    </font>
    <font>
      <b/>
      <u/>
      <sz val="14"/>
      <name val="Arial"/>
      <family val="2"/>
    </font>
    <font>
      <b/>
      <sz val="11"/>
      <name val="Arial"/>
      <family val="2"/>
    </font>
    <font>
      <sz val="11"/>
      <color rgb="FFFF0000"/>
      <name val="Calibri"/>
      <family val="2"/>
      <scheme val="minor"/>
    </font>
    <font>
      <sz val="11"/>
      <name val="Calibri"/>
      <family val="2"/>
      <scheme val="minor"/>
    </font>
    <font>
      <sz val="10"/>
      <color rgb="FF000000"/>
      <name val="Arial"/>
      <family val="2"/>
    </font>
    <font>
      <sz val="11"/>
      <color rgb="FF006100"/>
      <name val="Calibri"/>
      <family val="2"/>
      <scheme val="minor"/>
    </font>
    <font>
      <b/>
      <sz val="11"/>
      <name val="Calibri"/>
      <family val="2"/>
      <scheme val="minor"/>
    </font>
    <font>
      <sz val="10"/>
      <color rgb="FFFF0000"/>
      <name val="Arial"/>
      <family val="2"/>
    </font>
    <font>
      <sz val="12"/>
      <color indexed="8"/>
      <name val="Arial"/>
      <family val="2"/>
    </font>
    <font>
      <sz val="12"/>
      <name val="Arial"/>
      <family val="2"/>
    </font>
    <font>
      <sz val="12"/>
      <color theme="1"/>
      <name val="Arial"/>
      <family val="2"/>
    </font>
    <font>
      <u/>
      <sz val="10"/>
      <color indexed="12"/>
      <name val="Arial"/>
      <family val="2"/>
    </font>
    <font>
      <sz val="10"/>
      <color indexed="8"/>
      <name val="Arial"/>
      <family val="2"/>
    </font>
    <font>
      <b/>
      <sz val="11"/>
      <color theme="1"/>
      <name val="Calibri"/>
      <family val="2"/>
    </font>
    <font>
      <b/>
      <sz val="8.8000000000000007"/>
      <color theme="1"/>
      <name val="Calibri"/>
      <family val="2"/>
    </font>
    <font>
      <sz val="11"/>
      <color theme="0"/>
      <name val="Calibri"/>
      <family val="2"/>
      <scheme val="minor"/>
    </font>
    <font>
      <i/>
      <sz val="11"/>
      <color theme="1"/>
      <name val="Calibri"/>
      <family val="2"/>
      <scheme val="minor"/>
    </font>
    <font>
      <b/>
      <i/>
      <sz val="11"/>
      <color theme="1"/>
      <name val="Calibri"/>
      <family val="2"/>
      <scheme val="minor"/>
    </font>
    <font>
      <b/>
      <sz val="14"/>
      <color theme="1"/>
      <name val="Calibri"/>
      <family val="2"/>
      <scheme val="minor"/>
    </font>
    <font>
      <b/>
      <sz val="16"/>
      <color theme="1"/>
      <name val="Calibri"/>
      <family val="2"/>
      <scheme val="minor"/>
    </font>
    <font>
      <b/>
      <sz val="18"/>
      <color theme="0"/>
      <name val="Calibri"/>
      <family val="2"/>
      <scheme val="minor"/>
    </font>
    <font>
      <b/>
      <sz val="10"/>
      <color rgb="FF000000"/>
      <name val="Arial"/>
      <family val="2"/>
    </font>
    <font>
      <sz val="11"/>
      <color rgb="FF1F497D"/>
      <name val="Calibri"/>
      <family val="2"/>
      <scheme val="minor"/>
    </font>
    <font>
      <b/>
      <sz val="12"/>
      <color theme="1"/>
      <name val="Calibri"/>
      <family val="2"/>
      <scheme val="minor"/>
    </font>
    <font>
      <sz val="11"/>
      <color rgb="FF000000"/>
      <name val="Calibri"/>
      <family val="2"/>
      <scheme val="minor"/>
    </font>
  </fonts>
  <fills count="2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indexed="27"/>
        <bgColor indexed="64"/>
      </patternFill>
    </fill>
    <fill>
      <patternFill patternType="solid">
        <fgColor indexed="26"/>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0000"/>
        <bgColor indexed="64"/>
      </patternFill>
    </fill>
    <fill>
      <patternFill patternType="solid">
        <fgColor rgb="FFC6EFCE"/>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bgColor indexed="64"/>
      </patternFill>
    </fill>
    <fill>
      <patternFill patternType="solid">
        <fgColor theme="9"/>
        <bgColor indexed="64"/>
      </patternFill>
    </fill>
    <fill>
      <patternFill patternType="solid">
        <fgColor theme="3" tint="0.79998168889431442"/>
        <bgColor indexed="64"/>
      </patternFill>
    </fill>
    <fill>
      <patternFill patternType="solid">
        <fgColor theme="1"/>
        <bgColor indexed="64"/>
      </patternFill>
    </fill>
    <fill>
      <patternFill patternType="solid">
        <fgColor theme="2" tint="-9.9978637043366805E-2"/>
        <bgColor indexed="64"/>
      </patternFill>
    </fill>
    <fill>
      <patternFill patternType="solid">
        <fgColor theme="6"/>
        <bgColor indexed="64"/>
      </patternFill>
    </fill>
    <fill>
      <patternFill patternType="solid">
        <fgColor rgb="FFFFC000"/>
        <bgColor indexed="64"/>
      </patternFill>
    </fill>
    <fill>
      <patternFill patternType="solid">
        <fgColor theme="5" tint="0.39997558519241921"/>
        <bgColor indexed="64"/>
      </patternFill>
    </fill>
    <fill>
      <patternFill patternType="solid">
        <fgColor theme="9" tint="-0.249977111117893"/>
        <bgColor indexed="64"/>
      </patternFill>
    </fill>
  </fills>
  <borders count="56">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thin">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style="medium">
        <color indexed="64"/>
      </bottom>
      <diagonal/>
    </border>
    <border>
      <left/>
      <right/>
      <top style="medium">
        <color indexed="64"/>
      </top>
      <bottom style="thin">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0">
    <xf numFmtId="0" fontId="0" fillId="0" borderId="0"/>
    <xf numFmtId="43" fontId="6" fillId="0" borderId="0" applyFont="0" applyFill="0" applyBorder="0" applyAlignment="0" applyProtection="0"/>
    <xf numFmtId="44" fontId="6" fillId="0" borderId="0" applyFont="0" applyFill="0" applyBorder="0" applyAlignment="0" applyProtection="0"/>
    <xf numFmtId="0" fontId="7" fillId="0" borderId="0"/>
    <xf numFmtId="0" fontId="13" fillId="0" borderId="0"/>
    <xf numFmtId="43" fontId="13" fillId="0" borderId="0" applyFont="0" applyFill="0" applyBorder="0" applyAlignment="0" applyProtection="0"/>
    <xf numFmtId="0" fontId="13" fillId="0" borderId="0"/>
    <xf numFmtId="44" fontId="13" fillId="0" borderId="0" applyFont="0" applyFill="0" applyBorder="0" applyAlignment="0" applyProtection="0"/>
    <xf numFmtId="9" fontId="13" fillId="0" borderId="0" applyFont="0" applyFill="0" applyBorder="0" applyAlignment="0" applyProtection="0"/>
    <xf numFmtId="0" fontId="14" fillId="12" borderId="0" applyNumberFormat="0" applyBorder="0" applyAlignment="0" applyProtection="0"/>
    <xf numFmtId="9" fontId="6" fillId="0" borderId="0" applyFont="0" applyFill="0" applyBorder="0" applyAlignment="0" applyProtection="0"/>
    <xf numFmtId="0" fontId="17" fillId="0" borderId="0"/>
    <xf numFmtId="0" fontId="19" fillId="0" borderId="0"/>
    <xf numFmtId="0" fontId="18" fillId="0" borderId="0"/>
    <xf numFmtId="43" fontId="17"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0" fillId="0" borderId="0" applyNumberFormat="0" applyFill="0" applyBorder="0" applyAlignment="0" applyProtection="0">
      <alignment vertical="top"/>
      <protection locked="0"/>
    </xf>
    <xf numFmtId="0" fontId="7" fillId="0" borderId="0"/>
    <xf numFmtId="0" fontId="19" fillId="0" borderId="0"/>
    <xf numFmtId="0" fontId="21" fillId="0" borderId="0"/>
    <xf numFmtId="9" fontId="17" fillId="0" borderId="0" applyFont="0" applyFill="0" applyBorder="0" applyAlignment="0" applyProtection="0"/>
    <xf numFmtId="9" fontId="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cellStyleXfs>
  <cellXfs count="717">
    <xf numFmtId="0" fontId="0" fillId="0" borderId="0" xfId="0"/>
    <xf numFmtId="0" fontId="0" fillId="0" borderId="0" xfId="0" applyAlignment="1">
      <alignment horizontal="right"/>
    </xf>
    <xf numFmtId="0" fontId="7" fillId="4" borderId="7" xfId="3" applyFill="1" applyBorder="1"/>
    <xf numFmtId="0" fontId="7" fillId="0" borderId="0" xfId="3"/>
    <xf numFmtId="0" fontId="7" fillId="4" borderId="10" xfId="3" applyFill="1" applyBorder="1"/>
    <xf numFmtId="0" fontId="7" fillId="4" borderId="5" xfId="3" applyFill="1" applyBorder="1"/>
    <xf numFmtId="0" fontId="8" fillId="4" borderId="2" xfId="3" applyFont="1" applyFill="1" applyBorder="1" applyAlignment="1">
      <alignment horizontal="right"/>
    </xf>
    <xf numFmtId="0" fontId="8" fillId="4" borderId="13" xfId="3" applyFont="1" applyFill="1" applyBorder="1" applyAlignment="1">
      <alignment horizontal="right"/>
    </xf>
    <xf numFmtId="0" fontId="8" fillId="4" borderId="6" xfId="3" applyFont="1" applyFill="1" applyBorder="1" applyAlignment="1">
      <alignment horizontal="right"/>
    </xf>
    <xf numFmtId="0" fontId="8" fillId="4" borderId="8" xfId="3" applyFont="1" applyFill="1" applyBorder="1" applyAlignment="1">
      <alignment horizontal="right"/>
    </xf>
    <xf numFmtId="0" fontId="8" fillId="4" borderId="4" xfId="3" applyFont="1" applyFill="1" applyBorder="1" applyAlignment="1">
      <alignment horizontal="center" vertical="top"/>
    </xf>
    <xf numFmtId="0" fontId="8" fillId="4" borderId="11" xfId="3" applyFont="1" applyFill="1" applyBorder="1" applyAlignment="1">
      <alignment horizontal="right"/>
    </xf>
    <xf numFmtId="0" fontId="7" fillId="4" borderId="6" xfId="3" applyFill="1" applyBorder="1"/>
    <xf numFmtId="166" fontId="7" fillId="5" borderId="0" xfId="3" applyNumberFormat="1" applyFill="1" applyBorder="1"/>
    <xf numFmtId="0" fontId="0" fillId="0" borderId="0" xfId="0" applyBorder="1"/>
    <xf numFmtId="0" fontId="7" fillId="0" borderId="9" xfId="3" applyFill="1" applyBorder="1"/>
    <xf numFmtId="0" fontId="7" fillId="0" borderId="0" xfId="3" applyFill="1" applyBorder="1"/>
    <xf numFmtId="14" fontId="7" fillId="0" borderId="0" xfId="3" applyNumberFormat="1" applyFill="1" applyBorder="1" applyAlignment="1">
      <alignment horizontal="center"/>
    </xf>
    <xf numFmtId="0" fontId="7" fillId="0" borderId="0" xfId="3" applyFill="1" applyBorder="1" applyAlignment="1">
      <alignment horizontal="center"/>
    </xf>
    <xf numFmtId="0" fontId="7" fillId="0" borderId="0" xfId="3" applyFill="1" applyBorder="1" applyAlignment="1"/>
    <xf numFmtId="0" fontId="0" fillId="0" borderId="0" xfId="0" applyAlignment="1">
      <alignment wrapText="1"/>
    </xf>
    <xf numFmtId="168" fontId="8" fillId="4" borderId="8" xfId="2" applyNumberFormat="1" applyFont="1" applyFill="1" applyBorder="1"/>
    <xf numFmtId="168" fontId="8" fillId="4" borderId="9" xfId="2" applyNumberFormat="1" applyFont="1" applyFill="1" applyBorder="1"/>
    <xf numFmtId="168" fontId="8" fillId="4" borderId="3" xfId="2" applyNumberFormat="1" applyFont="1" applyFill="1" applyBorder="1"/>
    <xf numFmtId="168" fontId="8" fillId="4" borderId="11" xfId="2" applyNumberFormat="1" applyFont="1" applyFill="1" applyBorder="1"/>
    <xf numFmtId="168" fontId="8" fillId="4" borderId="12" xfId="2" applyNumberFormat="1" applyFont="1" applyFill="1" applyBorder="1"/>
    <xf numFmtId="168" fontId="8" fillId="4" borderId="12" xfId="2" applyNumberFormat="1" applyFont="1" applyFill="1" applyBorder="1" applyAlignment="1">
      <alignment wrapText="1"/>
    </xf>
    <xf numFmtId="168" fontId="8" fillId="4" borderId="5" xfId="2" applyNumberFormat="1" applyFont="1" applyFill="1" applyBorder="1" applyAlignment="1">
      <alignment wrapText="1"/>
    </xf>
    <xf numFmtId="168" fontId="7" fillId="5" borderId="14" xfId="2" applyNumberFormat="1" applyFont="1" applyFill="1" applyBorder="1"/>
    <xf numFmtId="168" fontId="7" fillId="5" borderId="15" xfId="2" applyNumberFormat="1" applyFont="1" applyFill="1" applyBorder="1"/>
    <xf numFmtId="168" fontId="7" fillId="5" borderId="16" xfId="2" applyNumberFormat="1" applyFont="1" applyFill="1" applyBorder="1"/>
    <xf numFmtId="168" fontId="7" fillId="5" borderId="17" xfId="2" applyNumberFormat="1" applyFont="1" applyFill="1" applyBorder="1"/>
    <xf numFmtId="168" fontId="7" fillId="4" borderId="10" xfId="2" applyNumberFormat="1" applyFont="1" applyFill="1" applyBorder="1"/>
    <xf numFmtId="168" fontId="7" fillId="4" borderId="0" xfId="2" applyNumberFormat="1" applyFont="1" applyFill="1" applyBorder="1"/>
    <xf numFmtId="168" fontId="7" fillId="4" borderId="7" xfId="2" applyNumberFormat="1" applyFont="1" applyFill="1" applyBorder="1"/>
    <xf numFmtId="168" fontId="7" fillId="4" borderId="11" xfId="2" applyNumberFormat="1" applyFont="1" applyFill="1" applyBorder="1"/>
    <xf numFmtId="168" fontId="7" fillId="4" borderId="12" xfId="2" applyNumberFormat="1" applyFont="1" applyFill="1" applyBorder="1"/>
    <xf numFmtId="168" fontId="7" fillId="4" borderId="5" xfId="2" applyNumberFormat="1" applyFont="1" applyFill="1" applyBorder="1"/>
    <xf numFmtId="168" fontId="7" fillId="0" borderId="24" xfId="2" applyNumberFormat="1" applyFont="1" applyBorder="1"/>
    <xf numFmtId="168" fontId="7" fillId="0" borderId="20" xfId="2" applyNumberFormat="1" applyFont="1" applyBorder="1"/>
    <xf numFmtId="168" fontId="7" fillId="5" borderId="18" xfId="2" applyNumberFormat="1" applyFont="1" applyFill="1" applyBorder="1"/>
    <xf numFmtId="168" fontId="7" fillId="5" borderId="24" xfId="2" applyNumberFormat="1" applyFont="1" applyFill="1" applyBorder="1"/>
    <xf numFmtId="168" fontId="7" fillId="5" borderId="19" xfId="2" applyNumberFormat="1" applyFont="1" applyFill="1" applyBorder="1"/>
    <xf numFmtId="168" fontId="7" fillId="5" borderId="21" xfId="2" applyNumberFormat="1" applyFont="1" applyFill="1" applyBorder="1"/>
    <xf numFmtId="168" fontId="7" fillId="5" borderId="22" xfId="2" applyNumberFormat="1" applyFont="1" applyFill="1" applyBorder="1"/>
    <xf numFmtId="168" fontId="7" fillId="0" borderId="26" xfId="2" applyNumberFormat="1" applyFont="1" applyBorder="1"/>
    <xf numFmtId="168" fontId="7" fillId="5" borderId="25" xfId="2" applyNumberFormat="1" applyFont="1" applyFill="1" applyBorder="1"/>
    <xf numFmtId="168" fontId="7" fillId="5" borderId="23" xfId="2" applyNumberFormat="1" applyFont="1" applyFill="1" applyBorder="1"/>
    <xf numFmtId="168" fontId="7" fillId="5" borderId="27" xfId="2" applyNumberFormat="1" applyFont="1" applyFill="1" applyBorder="1"/>
    <xf numFmtId="168" fontId="7" fillId="0" borderId="25" xfId="2" applyNumberFormat="1" applyFont="1" applyBorder="1"/>
    <xf numFmtId="168" fontId="7" fillId="5" borderId="28" xfId="2" applyNumberFormat="1" applyFont="1" applyFill="1" applyBorder="1"/>
    <xf numFmtId="168" fontId="7" fillId="5" borderId="29" xfId="2" applyNumberFormat="1" applyFont="1" applyFill="1" applyBorder="1"/>
    <xf numFmtId="168" fontId="7" fillId="5" borderId="30" xfId="2" applyNumberFormat="1" applyFont="1" applyFill="1" applyBorder="1"/>
    <xf numFmtId="168" fontId="0" fillId="0" borderId="0" xfId="2" applyNumberFormat="1" applyFont="1"/>
    <xf numFmtId="168" fontId="8" fillId="4" borderId="0" xfId="2" applyNumberFormat="1" applyFont="1" applyFill="1" applyBorder="1"/>
    <xf numFmtId="0" fontId="7" fillId="0" borderId="8" xfId="3" applyFill="1" applyBorder="1"/>
    <xf numFmtId="0" fontId="8" fillId="0" borderId="10" xfId="3" applyFont="1" applyFill="1" applyBorder="1"/>
    <xf numFmtId="0" fontId="8" fillId="0" borderId="0" xfId="3" applyFont="1" applyFill="1" applyBorder="1"/>
    <xf numFmtId="0" fontId="7" fillId="0" borderId="0" xfId="3" applyFill="1" applyBorder="1" applyAlignment="1">
      <alignment horizontal="left"/>
    </xf>
    <xf numFmtId="0" fontId="7" fillId="0" borderId="0" xfId="3" applyFill="1" applyBorder="1" applyAlignment="1">
      <alignment horizontal="right"/>
    </xf>
    <xf numFmtId="43" fontId="7" fillId="0" borderId="0" xfId="3" applyNumberFormat="1" applyFill="1" applyBorder="1" applyAlignment="1">
      <alignment horizontal="center"/>
    </xf>
    <xf numFmtId="0" fontId="7" fillId="0" borderId="10" xfId="3" applyFill="1" applyBorder="1"/>
    <xf numFmtId="164" fontId="7" fillId="0" borderId="0" xfId="3" applyNumberFormat="1" applyFill="1" applyBorder="1" applyAlignment="1">
      <alignment horizontal="center"/>
    </xf>
    <xf numFmtId="3" fontId="7" fillId="0" borderId="0" xfId="3" applyNumberFormat="1" applyFill="1" applyBorder="1" applyAlignment="1">
      <alignment horizontal="center"/>
    </xf>
    <xf numFmtId="0" fontId="7" fillId="0" borderId="10" xfId="3" applyFont="1" applyFill="1" applyBorder="1"/>
    <xf numFmtId="165" fontId="7" fillId="0" borderId="0" xfId="3" applyNumberFormat="1" applyFill="1" applyBorder="1" applyAlignment="1">
      <alignment horizontal="center"/>
    </xf>
    <xf numFmtId="0" fontId="8" fillId="0" borderId="12" xfId="3" applyFont="1" applyFill="1" applyBorder="1"/>
    <xf numFmtId="0" fontId="7" fillId="0" borderId="12" xfId="3" applyFill="1" applyBorder="1" applyAlignment="1"/>
    <xf numFmtId="0" fontId="8" fillId="0" borderId="9" xfId="3" applyFont="1" applyFill="1" applyBorder="1" applyAlignment="1">
      <alignment horizontal="center"/>
    </xf>
    <xf numFmtId="0" fontId="9" fillId="0" borderId="0" xfId="3" applyFont="1" applyFill="1" applyBorder="1" applyAlignment="1">
      <alignment horizontal="center"/>
    </xf>
    <xf numFmtId="0" fontId="7" fillId="0" borderId="10" xfId="3" applyFill="1" applyBorder="1" applyAlignment="1">
      <alignment horizontal="left"/>
    </xf>
    <xf numFmtId="0" fontId="10" fillId="0" borderId="0" xfId="3" applyFont="1" applyFill="1" applyBorder="1" applyAlignment="1">
      <alignment horizontal="center"/>
    </xf>
    <xf numFmtId="0" fontId="8" fillId="0" borderId="0" xfId="3" applyFont="1" applyFill="1" applyBorder="1" applyAlignment="1">
      <alignment horizontal="center"/>
    </xf>
    <xf numFmtId="3" fontId="8" fillId="0" borderId="0" xfId="3" applyNumberFormat="1" applyFont="1" applyFill="1" applyBorder="1" applyAlignment="1">
      <alignment horizontal="center"/>
    </xf>
    <xf numFmtId="1" fontId="8" fillId="0" borderId="12" xfId="3" applyNumberFormat="1" applyFont="1" applyFill="1" applyBorder="1" applyAlignment="1"/>
    <xf numFmtId="168" fontId="8" fillId="4" borderId="10" xfId="2" applyNumberFormat="1" applyFont="1" applyFill="1" applyBorder="1"/>
    <xf numFmtId="168" fontId="8" fillId="4" borderId="7" xfId="2" applyNumberFormat="1" applyFont="1" applyFill="1" applyBorder="1"/>
    <xf numFmtId="168" fontId="7" fillId="3" borderId="9" xfId="2" applyNumberFormat="1" applyFont="1" applyFill="1" applyBorder="1" applyAlignment="1"/>
    <xf numFmtId="168" fontId="7" fillId="3" borderId="10" xfId="2" applyNumberFormat="1" applyFont="1" applyFill="1" applyBorder="1"/>
    <xf numFmtId="168" fontId="7" fillId="3" borderId="0" xfId="2" applyNumberFormat="1" applyFont="1" applyFill="1" applyBorder="1" applyAlignment="1"/>
    <xf numFmtId="168" fontId="7" fillId="3" borderId="0" xfId="2" applyNumberFormat="1" applyFont="1" applyFill="1" applyBorder="1" applyAlignment="1">
      <alignment horizontal="right"/>
    </xf>
    <xf numFmtId="169" fontId="7" fillId="3" borderId="0" xfId="2" applyNumberFormat="1" applyFont="1" applyFill="1" applyBorder="1" applyAlignment="1"/>
    <xf numFmtId="168" fontId="7" fillId="0" borderId="32" xfId="2" applyNumberFormat="1" applyFont="1" applyBorder="1"/>
    <xf numFmtId="166" fontId="7" fillId="5" borderId="8" xfId="3" applyNumberFormat="1" applyFill="1" applyBorder="1"/>
    <xf numFmtId="0" fontId="7" fillId="4" borderId="4" xfId="3" applyFill="1" applyBorder="1"/>
    <xf numFmtId="166" fontId="7" fillId="5" borderId="12" xfId="3" applyNumberFormat="1" applyFill="1" applyBorder="1"/>
    <xf numFmtId="168" fontId="7" fillId="0" borderId="33" xfId="2" applyNumberFormat="1" applyFont="1" applyBorder="1"/>
    <xf numFmtId="168" fontId="7" fillId="0" borderId="29" xfId="2" applyNumberFormat="1" applyFont="1" applyBorder="1"/>
    <xf numFmtId="168" fontId="7" fillId="0" borderId="34" xfId="2" applyNumberFormat="1" applyFont="1" applyBorder="1"/>
    <xf numFmtId="169" fontId="7" fillId="3" borderId="0" xfId="2" applyNumberFormat="1" applyFont="1" applyFill="1" applyBorder="1" applyAlignment="1">
      <alignment horizontal="right"/>
    </xf>
    <xf numFmtId="168" fontId="7" fillId="3" borderId="0" xfId="2" applyNumberFormat="1" applyFont="1" applyFill="1" applyBorder="1"/>
    <xf numFmtId="168" fontId="7" fillId="0" borderId="36" xfId="2" applyNumberFormat="1" applyFont="1" applyBorder="1"/>
    <xf numFmtId="168" fontId="7" fillId="5" borderId="37" xfId="2" applyNumberFormat="1" applyFont="1" applyFill="1" applyBorder="1"/>
    <xf numFmtId="168" fontId="7" fillId="5" borderId="38" xfId="2" applyNumberFormat="1" applyFont="1" applyFill="1" applyBorder="1"/>
    <xf numFmtId="168" fontId="7" fillId="6" borderId="35" xfId="2" applyNumberFormat="1" applyFont="1" applyFill="1" applyBorder="1"/>
    <xf numFmtId="168" fontId="8" fillId="3" borderId="9" xfId="2" applyNumberFormat="1" applyFont="1" applyFill="1" applyBorder="1"/>
    <xf numFmtId="168" fontId="8" fillId="3" borderId="8" xfId="2" applyNumberFormat="1" applyFont="1" applyFill="1" applyBorder="1"/>
    <xf numFmtId="44" fontId="0" fillId="0" borderId="0" xfId="0" applyNumberFormat="1"/>
    <xf numFmtId="0" fontId="0" fillId="7" borderId="0" xfId="0" applyFill="1" applyBorder="1"/>
    <xf numFmtId="0" fontId="0" fillId="7" borderId="1" xfId="0" applyFill="1" applyBorder="1"/>
    <xf numFmtId="0" fontId="0" fillId="8" borderId="0" xfId="0" applyFill="1" applyBorder="1"/>
    <xf numFmtId="0" fontId="0" fillId="8" borderId="1" xfId="0" applyFill="1" applyBorder="1"/>
    <xf numFmtId="0" fontId="0" fillId="10" borderId="0" xfId="0" applyFill="1" applyBorder="1"/>
    <xf numFmtId="0" fontId="0" fillId="10" borderId="1" xfId="0" applyFill="1" applyBorder="1"/>
    <xf numFmtId="44" fontId="0" fillId="3" borderId="0" xfId="2" applyFont="1" applyFill="1" applyBorder="1"/>
    <xf numFmtId="44" fontId="0" fillId="10" borderId="12" xfId="2" applyFont="1" applyFill="1" applyBorder="1"/>
    <xf numFmtId="0" fontId="0" fillId="10" borderId="39" xfId="0" applyFill="1" applyBorder="1"/>
    <xf numFmtId="0" fontId="0" fillId="10" borderId="9" xfId="0" applyFill="1" applyBorder="1"/>
    <xf numFmtId="44" fontId="0" fillId="8" borderId="12" xfId="2" applyFont="1" applyFill="1" applyBorder="1"/>
    <xf numFmtId="44" fontId="0" fillId="7" borderId="12" xfId="2" applyFont="1" applyFill="1" applyBorder="1"/>
    <xf numFmtId="44" fontId="0" fillId="9" borderId="12" xfId="2" applyFont="1" applyFill="1" applyBorder="1"/>
    <xf numFmtId="44" fontId="0" fillId="3" borderId="12" xfId="2" applyFont="1" applyFill="1" applyBorder="1"/>
    <xf numFmtId="0" fontId="0" fillId="0" borderId="12" xfId="0" applyBorder="1" applyAlignment="1">
      <alignment wrapText="1"/>
    </xf>
    <xf numFmtId="0" fontId="0" fillId="0" borderId="0" xfId="0" applyFill="1"/>
    <xf numFmtId="0" fontId="12" fillId="0" borderId="0" xfId="0" applyFont="1" applyFill="1"/>
    <xf numFmtId="167" fontId="12" fillId="3" borderId="1" xfId="1" applyNumberFormat="1" applyFont="1" applyFill="1" applyBorder="1"/>
    <xf numFmtId="44" fontId="12" fillId="3" borderId="1" xfId="2" applyFont="1" applyFill="1" applyBorder="1"/>
    <xf numFmtId="0" fontId="12" fillId="3" borderId="1" xfId="0" applyFont="1" applyFill="1" applyBorder="1"/>
    <xf numFmtId="0" fontId="12" fillId="9" borderId="1" xfId="0" applyFont="1" applyFill="1" applyBorder="1"/>
    <xf numFmtId="44" fontId="12" fillId="9" borderId="1" xfId="2" applyFont="1" applyFill="1" applyBorder="1"/>
    <xf numFmtId="0" fontId="0" fillId="9" borderId="0" xfId="0" applyFill="1" applyBorder="1"/>
    <xf numFmtId="0" fontId="0" fillId="8" borderId="39" xfId="0" applyFill="1" applyBorder="1"/>
    <xf numFmtId="0" fontId="0" fillId="0" borderId="0" xfId="0"/>
    <xf numFmtId="0" fontId="1" fillId="0" borderId="0" xfId="0" applyFont="1"/>
    <xf numFmtId="2" fontId="0" fillId="0" borderId="0" xfId="0" applyNumberFormat="1"/>
    <xf numFmtId="44" fontId="12" fillId="0" borderId="0" xfId="2" applyFont="1" applyFill="1" applyBorder="1"/>
    <xf numFmtId="0" fontId="0" fillId="3" borderId="9" xfId="0" applyFill="1" applyBorder="1" applyAlignment="1">
      <alignment wrapText="1"/>
    </xf>
    <xf numFmtId="167" fontId="12" fillId="9" borderId="1" xfId="1" applyNumberFormat="1" applyFont="1" applyFill="1" applyBorder="1"/>
    <xf numFmtId="0" fontId="12" fillId="9" borderId="39" xfId="0" applyFont="1" applyFill="1" applyBorder="1"/>
    <xf numFmtId="0" fontId="0" fillId="9" borderId="9" xfId="0" applyFill="1" applyBorder="1"/>
    <xf numFmtId="0" fontId="0" fillId="7" borderId="39" xfId="0" applyFill="1" applyBorder="1"/>
    <xf numFmtId="0" fontId="13" fillId="0" borderId="0" xfId="6" applyFont="1" applyBorder="1" applyAlignment="1"/>
    <xf numFmtId="0" fontId="13" fillId="0" borderId="0" xfId="6" applyBorder="1" applyAlignment="1"/>
    <xf numFmtId="44" fontId="12" fillId="9" borderId="12" xfId="2" applyFont="1" applyFill="1" applyBorder="1"/>
    <xf numFmtId="44" fontId="0" fillId="10" borderId="0" xfId="2" applyFont="1" applyFill="1" applyBorder="1"/>
    <xf numFmtId="168" fontId="7" fillId="0" borderId="28" xfId="2" applyNumberFormat="1" applyFont="1" applyBorder="1"/>
    <xf numFmtId="0" fontId="7" fillId="11" borderId="0" xfId="3" applyFill="1" applyBorder="1"/>
    <xf numFmtId="0" fontId="7" fillId="11" borderId="0" xfId="3" applyFill="1" applyBorder="1" applyAlignment="1">
      <alignment horizontal="center"/>
    </xf>
    <xf numFmtId="0" fontId="7" fillId="11" borderId="0" xfId="3" applyFill="1" applyBorder="1" applyAlignment="1"/>
    <xf numFmtId="0" fontId="8" fillId="11" borderId="0" xfId="3" applyFont="1" applyFill="1" applyBorder="1" applyAlignment="1">
      <alignment horizontal="center"/>
    </xf>
    <xf numFmtId="168" fontId="7" fillId="5" borderId="40" xfId="2" applyNumberFormat="1" applyFont="1" applyFill="1" applyBorder="1"/>
    <xf numFmtId="44" fontId="12" fillId="7" borderId="12" xfId="2" applyFont="1" applyFill="1" applyBorder="1"/>
    <xf numFmtId="44" fontId="12" fillId="7" borderId="39" xfId="2" applyFont="1" applyFill="1" applyBorder="1"/>
    <xf numFmtId="44" fontId="12" fillId="7" borderId="1" xfId="2" applyFont="1" applyFill="1" applyBorder="1"/>
    <xf numFmtId="0" fontId="12" fillId="0" borderId="0" xfId="0" applyFont="1"/>
    <xf numFmtId="44" fontId="12" fillId="9" borderId="39" xfId="2" applyFont="1" applyFill="1" applyBorder="1"/>
    <xf numFmtId="44" fontId="12" fillId="8" borderId="1" xfId="2" applyFont="1" applyFill="1" applyBorder="1"/>
    <xf numFmtId="44" fontId="12" fillId="8" borderId="39" xfId="2" applyFont="1" applyFill="1" applyBorder="1"/>
    <xf numFmtId="44" fontId="12" fillId="10" borderId="39" xfId="2" applyFont="1" applyFill="1" applyBorder="1"/>
    <xf numFmtId="44" fontId="12" fillId="10" borderId="1" xfId="2" applyFont="1" applyFill="1" applyBorder="1"/>
    <xf numFmtId="44" fontId="12" fillId="10" borderId="12" xfId="2" applyFont="1" applyFill="1" applyBorder="1"/>
    <xf numFmtId="0" fontId="0" fillId="3" borderId="0" xfId="0" applyFill="1" applyBorder="1" applyAlignment="1">
      <alignment wrapText="1"/>
    </xf>
    <xf numFmtId="0" fontId="11" fillId="0" borderId="0" xfId="0" applyFont="1"/>
    <xf numFmtId="0" fontId="14" fillId="12" borderId="0" xfId="9"/>
    <xf numFmtId="44" fontId="11" fillId="0" borderId="0" xfId="0" applyNumberFormat="1" applyFont="1"/>
    <xf numFmtId="0" fontId="11" fillId="0" borderId="0" xfId="0" quotePrefix="1" applyFont="1"/>
    <xf numFmtId="0" fontId="0" fillId="0" borderId="0" xfId="0" applyFont="1" applyBorder="1"/>
    <xf numFmtId="0" fontId="11" fillId="0" borderId="0" xfId="0" applyFont="1" applyAlignment="1">
      <alignment horizontal="left" wrapText="1"/>
    </xf>
    <xf numFmtId="0" fontId="0" fillId="0" borderId="41" xfId="0" applyBorder="1"/>
    <xf numFmtId="0" fontId="0" fillId="0" borderId="41" xfId="0" applyBorder="1" applyAlignment="1">
      <alignment wrapText="1"/>
    </xf>
    <xf numFmtId="3" fontId="11" fillId="13" borderId="41" xfId="0" applyNumberFormat="1" applyFont="1" applyFill="1" applyBorder="1"/>
    <xf numFmtId="167" fontId="12" fillId="3" borderId="41" xfId="1" applyNumberFormat="1" applyFont="1" applyFill="1" applyBorder="1"/>
    <xf numFmtId="0" fontId="0" fillId="2" borderId="41" xfId="0" applyFill="1" applyBorder="1" applyAlignment="1">
      <alignment wrapText="1"/>
    </xf>
    <xf numFmtId="0" fontId="11" fillId="0" borderId="0" xfId="0" applyFont="1" applyBorder="1"/>
    <xf numFmtId="0" fontId="0" fillId="10" borderId="12" xfId="0" applyFill="1" applyBorder="1" applyAlignment="1">
      <alignment horizontal="center" vertical="center"/>
    </xf>
    <xf numFmtId="0" fontId="0" fillId="3" borderId="12" xfId="0" applyFill="1" applyBorder="1" applyAlignment="1">
      <alignment horizontal="center" vertical="center" wrapText="1"/>
    </xf>
    <xf numFmtId="0" fontId="0" fillId="9" borderId="12" xfId="0" applyFill="1" applyBorder="1" applyAlignment="1">
      <alignment horizontal="center" vertical="center" wrapText="1"/>
    </xf>
    <xf numFmtId="0" fontId="0" fillId="7" borderId="12" xfId="0" applyFill="1" applyBorder="1" applyAlignment="1">
      <alignment horizontal="center" vertical="center"/>
    </xf>
    <xf numFmtId="0" fontId="12" fillId="3" borderId="12" xfId="0" applyFont="1" applyFill="1" applyBorder="1"/>
    <xf numFmtId="167" fontId="12" fillId="3" borderId="12" xfId="1" applyNumberFormat="1" applyFont="1" applyFill="1" applyBorder="1"/>
    <xf numFmtId="44" fontId="12" fillId="3" borderId="12" xfId="2" applyFont="1" applyFill="1" applyBorder="1"/>
    <xf numFmtId="0" fontId="12" fillId="3" borderId="1" xfId="0" applyFont="1" applyFill="1" applyBorder="1" applyAlignment="1">
      <alignment wrapText="1"/>
    </xf>
    <xf numFmtId="0" fontId="0" fillId="0" borderId="0" xfId="0" applyAlignment="1">
      <alignment horizontal="center" vertical="center"/>
    </xf>
    <xf numFmtId="2" fontId="0" fillId="0" borderId="0" xfId="0" applyNumberFormat="1" applyAlignment="1">
      <alignment horizontal="center" vertical="center"/>
    </xf>
    <xf numFmtId="0" fontId="0" fillId="0" borderId="12" xfId="0" applyBorder="1" applyAlignment="1">
      <alignment horizontal="center" vertical="center" wrapText="1"/>
    </xf>
    <xf numFmtId="0" fontId="12" fillId="3" borderId="1" xfId="0" applyFont="1" applyFill="1" applyBorder="1" applyAlignment="1">
      <alignment horizontal="center" vertical="center"/>
    </xf>
    <xf numFmtId="0" fontId="12" fillId="3" borderId="12" xfId="0" applyFont="1" applyFill="1" applyBorder="1" applyAlignment="1">
      <alignment horizontal="center" vertical="center"/>
    </xf>
    <xf numFmtId="0" fontId="12" fillId="9" borderId="1" xfId="0" applyFont="1" applyFill="1" applyBorder="1" applyAlignment="1">
      <alignment horizontal="center" vertical="center"/>
    </xf>
    <xf numFmtId="0" fontId="12" fillId="9" borderId="12" xfId="0" applyFont="1" applyFill="1" applyBorder="1" applyAlignment="1">
      <alignment horizontal="center" vertical="center"/>
    </xf>
    <xf numFmtId="0" fontId="12" fillId="7" borderId="39" xfId="0" applyFont="1" applyFill="1" applyBorder="1" applyAlignment="1">
      <alignment horizontal="center" vertical="center"/>
    </xf>
    <xf numFmtId="0" fontId="12" fillId="7" borderId="1" xfId="0" applyFont="1" applyFill="1" applyBorder="1" applyAlignment="1">
      <alignment horizontal="center" vertical="center"/>
    </xf>
    <xf numFmtId="0" fontId="12" fillId="7" borderId="12"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39" xfId="0" applyFont="1" applyFill="1" applyBorder="1" applyAlignment="1">
      <alignment horizontal="center" vertical="center"/>
    </xf>
    <xf numFmtId="0" fontId="12" fillId="10" borderId="39" xfId="0" applyFont="1" applyFill="1" applyBorder="1" applyAlignment="1">
      <alignment horizontal="center" vertical="center"/>
    </xf>
    <xf numFmtId="0" fontId="12" fillId="10" borderId="1" xfId="0" applyFont="1" applyFill="1" applyBorder="1" applyAlignment="1">
      <alignment horizontal="center" vertical="center"/>
    </xf>
    <xf numFmtId="0" fontId="12" fillId="10" borderId="12" xfId="0" applyFont="1" applyFill="1" applyBorder="1" applyAlignment="1">
      <alignment horizontal="center" vertical="center"/>
    </xf>
    <xf numFmtId="0" fontId="12" fillId="0" borderId="0" xfId="0" applyFont="1" applyAlignment="1">
      <alignment horizontal="center" vertical="center"/>
    </xf>
    <xf numFmtId="167" fontId="12" fillId="9" borderId="12" xfId="1" applyNumberFormat="1" applyFont="1" applyFill="1" applyBorder="1"/>
    <xf numFmtId="0" fontId="12" fillId="9" borderId="12" xfId="0" applyFont="1" applyFill="1" applyBorder="1"/>
    <xf numFmtId="0" fontId="12" fillId="9" borderId="1" xfId="0" applyFont="1" applyFill="1" applyBorder="1" applyAlignment="1">
      <alignment wrapText="1"/>
    </xf>
    <xf numFmtId="44" fontId="0" fillId="0" borderId="0" xfId="0" applyNumberFormat="1" applyAlignment="1">
      <alignment horizontal="left"/>
    </xf>
    <xf numFmtId="0" fontId="0" fillId="0" borderId="0" xfId="0" applyAlignment="1">
      <alignment horizontal="left"/>
    </xf>
    <xf numFmtId="0" fontId="0" fillId="8" borderId="1" xfId="0" applyFill="1" applyBorder="1" applyAlignment="1">
      <alignment horizontal="center" vertical="center"/>
    </xf>
    <xf numFmtId="0" fontId="0" fillId="3" borderId="43" xfId="0" applyFill="1" applyBorder="1" applyAlignment="1">
      <alignment horizontal="center" vertical="center" wrapText="1"/>
    </xf>
    <xf numFmtId="0" fontId="12" fillId="3" borderId="46" xfId="0" applyFont="1" applyFill="1" applyBorder="1"/>
    <xf numFmtId="0" fontId="12" fillId="3" borderId="46" xfId="0" applyFont="1" applyFill="1" applyBorder="1" applyAlignment="1">
      <alignment horizontal="center" vertical="center"/>
    </xf>
    <xf numFmtId="167" fontId="12" fillId="3" borderId="46" xfId="1" applyNumberFormat="1" applyFont="1" applyFill="1" applyBorder="1"/>
    <xf numFmtId="0" fontId="12" fillId="3" borderId="42" xfId="0" applyFont="1" applyFill="1" applyBorder="1" applyAlignment="1">
      <alignment vertical="center"/>
    </xf>
    <xf numFmtId="0" fontId="12" fillId="3" borderId="42" xfId="0" applyFont="1" applyFill="1" applyBorder="1" applyAlignment="1">
      <alignment horizontal="center" vertical="center"/>
    </xf>
    <xf numFmtId="167" fontId="12" fillId="3" borderId="42" xfId="1" applyNumberFormat="1" applyFont="1" applyFill="1" applyBorder="1"/>
    <xf numFmtId="44" fontId="12" fillId="3" borderId="42" xfId="2" applyFont="1" applyFill="1" applyBorder="1"/>
    <xf numFmtId="44" fontId="12" fillId="3" borderId="46" xfId="2" applyFont="1" applyFill="1" applyBorder="1"/>
    <xf numFmtId="0" fontId="12" fillId="3" borderId="47" xfId="0" applyFont="1" applyFill="1" applyBorder="1" applyAlignment="1">
      <alignment vertical="center"/>
    </xf>
    <xf numFmtId="0" fontId="12" fillId="3" borderId="47" xfId="0" applyFont="1" applyFill="1" applyBorder="1" applyAlignment="1">
      <alignment horizontal="center" vertical="center"/>
    </xf>
    <xf numFmtId="167" fontId="12" fillId="3" borderId="47" xfId="1" applyNumberFormat="1" applyFont="1" applyFill="1" applyBorder="1"/>
    <xf numFmtId="44" fontId="12" fillId="3" borderId="47" xfId="2" applyFont="1" applyFill="1" applyBorder="1"/>
    <xf numFmtId="44" fontId="12" fillId="3" borderId="43" xfId="2" applyFont="1" applyFill="1" applyBorder="1"/>
    <xf numFmtId="0" fontId="0" fillId="9" borderId="43" xfId="0" applyFill="1" applyBorder="1" applyAlignment="1">
      <alignment horizontal="center" vertical="center"/>
    </xf>
    <xf numFmtId="0" fontId="12" fillId="9" borderId="43" xfId="0" applyFont="1" applyFill="1" applyBorder="1"/>
    <xf numFmtId="44" fontId="12" fillId="9" borderId="43" xfId="2" applyFont="1" applyFill="1" applyBorder="1"/>
    <xf numFmtId="0" fontId="12" fillId="9" borderId="39" xfId="0" applyFont="1" applyFill="1" applyBorder="1" applyAlignment="1">
      <alignment horizontal="center" vertical="center"/>
    </xf>
    <xf numFmtId="0" fontId="12" fillId="9" borderId="42" xfId="0" applyFont="1" applyFill="1" applyBorder="1" applyAlignment="1">
      <alignment vertical="center"/>
    </xf>
    <xf numFmtId="0" fontId="12" fillId="9" borderId="42" xfId="0" applyFont="1" applyFill="1" applyBorder="1" applyAlignment="1">
      <alignment horizontal="center" vertical="center"/>
    </xf>
    <xf numFmtId="167" fontId="12" fillId="9" borderId="42" xfId="1" applyNumberFormat="1" applyFont="1" applyFill="1" applyBorder="1"/>
    <xf numFmtId="44" fontId="12" fillId="9" borderId="42" xfId="2" applyFont="1" applyFill="1" applyBorder="1"/>
    <xf numFmtId="44" fontId="12" fillId="9" borderId="47" xfId="2" applyFont="1" applyFill="1" applyBorder="1"/>
    <xf numFmtId="167" fontId="12" fillId="9" borderId="43" xfId="1" applyNumberFormat="1" applyFont="1" applyFill="1" applyBorder="1"/>
    <xf numFmtId="0" fontId="0" fillId="7" borderId="43" xfId="0" applyFill="1" applyBorder="1" applyAlignment="1">
      <alignment horizontal="center" vertical="center"/>
    </xf>
    <xf numFmtId="0" fontId="0" fillId="7" borderId="43" xfId="0" applyFill="1" applyBorder="1"/>
    <xf numFmtId="0" fontId="12" fillId="7" borderId="43" xfId="0" applyFont="1" applyFill="1" applyBorder="1" applyAlignment="1">
      <alignment horizontal="center" vertical="center"/>
    </xf>
    <xf numFmtId="44" fontId="12" fillId="7" borderId="43" xfId="2" applyFont="1" applyFill="1" applyBorder="1"/>
    <xf numFmtId="0" fontId="0" fillId="7" borderId="42" xfId="0" applyFill="1" applyBorder="1"/>
    <xf numFmtId="0" fontId="12" fillId="7" borderId="42" xfId="0" applyFont="1" applyFill="1" applyBorder="1" applyAlignment="1">
      <alignment horizontal="center" vertical="center"/>
    </xf>
    <xf numFmtId="3" fontId="12" fillId="7" borderId="42" xfId="0" applyNumberFormat="1" applyFont="1" applyFill="1" applyBorder="1"/>
    <xf numFmtId="44" fontId="12" fillId="7" borderId="42" xfId="2" applyFont="1" applyFill="1" applyBorder="1"/>
    <xf numFmtId="0" fontId="12" fillId="7" borderId="43" xfId="0" applyFont="1" applyFill="1" applyBorder="1"/>
    <xf numFmtId="167" fontId="12" fillId="7" borderId="43" xfId="1" applyNumberFormat="1" applyFont="1" applyFill="1" applyBorder="1"/>
    <xf numFmtId="0" fontId="0" fillId="8" borderId="47" xfId="0" applyFill="1" applyBorder="1"/>
    <xf numFmtId="0" fontId="12" fillId="8" borderId="47" xfId="0" applyFont="1" applyFill="1" applyBorder="1" applyAlignment="1">
      <alignment horizontal="center" vertical="center"/>
    </xf>
    <xf numFmtId="44" fontId="12" fillId="8" borderId="47" xfId="2" applyFont="1" applyFill="1" applyBorder="1"/>
    <xf numFmtId="3" fontId="12" fillId="8" borderId="47" xfId="0" applyNumberFormat="1" applyFont="1" applyFill="1" applyBorder="1"/>
    <xf numFmtId="0" fontId="0" fillId="8" borderId="43" xfId="0" applyFill="1" applyBorder="1" applyAlignment="1">
      <alignment horizontal="center" vertical="center"/>
    </xf>
    <xf numFmtId="0" fontId="0" fillId="8" borderId="43" xfId="0" applyFill="1" applyBorder="1"/>
    <xf numFmtId="0" fontId="12" fillId="8" borderId="43" xfId="0" applyFont="1" applyFill="1" applyBorder="1" applyAlignment="1">
      <alignment horizontal="center" vertical="center"/>
    </xf>
    <xf numFmtId="44" fontId="12" fillId="8" borderId="43" xfId="2" applyFont="1" applyFill="1" applyBorder="1"/>
    <xf numFmtId="0" fontId="12" fillId="8" borderId="43" xfId="0" applyFont="1" applyFill="1" applyBorder="1"/>
    <xf numFmtId="167" fontId="12" fillId="8" borderId="43" xfId="1" applyNumberFormat="1" applyFont="1" applyFill="1" applyBorder="1"/>
    <xf numFmtId="0" fontId="0" fillId="10" borderId="43" xfId="0" applyFill="1" applyBorder="1" applyAlignment="1">
      <alignment horizontal="center" vertical="center"/>
    </xf>
    <xf numFmtId="0" fontId="12" fillId="10" borderId="43" xfId="0" applyFont="1" applyFill="1" applyBorder="1" applyAlignment="1">
      <alignment horizontal="center" vertical="center"/>
    </xf>
    <xf numFmtId="44" fontId="12" fillId="10" borderId="43" xfId="2" applyFont="1" applyFill="1" applyBorder="1"/>
    <xf numFmtId="0" fontId="0" fillId="10" borderId="47" xfId="0" applyFill="1" applyBorder="1"/>
    <xf numFmtId="0" fontId="12" fillId="10" borderId="47" xfId="0" applyFont="1" applyFill="1" applyBorder="1" applyAlignment="1">
      <alignment horizontal="center" vertical="center"/>
    </xf>
    <xf numFmtId="3" fontId="12" fillId="10" borderId="47" xfId="0" applyNumberFormat="1" applyFont="1" applyFill="1" applyBorder="1"/>
    <xf numFmtId="44" fontId="12" fillId="10" borderId="47" xfId="2" applyFont="1" applyFill="1" applyBorder="1"/>
    <xf numFmtId="0" fontId="12" fillId="10" borderId="43" xfId="0" applyFont="1" applyFill="1" applyBorder="1"/>
    <xf numFmtId="167" fontId="12" fillId="10" borderId="43" xfId="1" applyNumberFormat="1" applyFont="1" applyFill="1" applyBorder="1"/>
    <xf numFmtId="168" fontId="8" fillId="3" borderId="10" xfId="2" applyNumberFormat="1" applyFont="1" applyFill="1" applyBorder="1"/>
    <xf numFmtId="168" fontId="8" fillId="3" borderId="0" xfId="2" applyNumberFormat="1" applyFont="1" applyFill="1" applyBorder="1" applyAlignment="1"/>
    <xf numFmtId="168" fontId="8" fillId="3" borderId="0" xfId="2" applyNumberFormat="1" applyFont="1" applyFill="1" applyBorder="1"/>
    <xf numFmtId="0" fontId="12" fillId="0" borderId="0" xfId="0" applyFont="1" applyAlignment="1">
      <alignment horizontal="right"/>
    </xf>
    <xf numFmtId="0" fontId="12" fillId="0" borderId="12" xfId="0" applyFont="1" applyBorder="1" applyAlignment="1">
      <alignment wrapText="1"/>
    </xf>
    <xf numFmtId="0" fontId="12" fillId="3" borderId="43" xfId="0" applyFont="1" applyFill="1" applyBorder="1" applyAlignment="1">
      <alignment wrapText="1"/>
    </xf>
    <xf numFmtId="0" fontId="12" fillId="3" borderId="42" xfId="0" applyFont="1" applyFill="1" applyBorder="1"/>
    <xf numFmtId="0" fontId="12" fillId="3" borderId="47" xfId="0" applyFont="1" applyFill="1" applyBorder="1"/>
    <xf numFmtId="0" fontId="12" fillId="9" borderId="42" xfId="0" applyFont="1" applyFill="1" applyBorder="1"/>
    <xf numFmtId="0" fontId="12" fillId="7" borderId="39" xfId="0" applyFont="1" applyFill="1" applyBorder="1"/>
    <xf numFmtId="167" fontId="12" fillId="7" borderId="39" xfId="1" applyNumberFormat="1" applyFont="1" applyFill="1" applyBorder="1"/>
    <xf numFmtId="0" fontId="12" fillId="7" borderId="1" xfId="0" applyFont="1" applyFill="1" applyBorder="1"/>
    <xf numFmtId="167" fontId="12" fillId="7" borderId="1" xfId="1" applyNumberFormat="1" applyFont="1" applyFill="1" applyBorder="1"/>
    <xf numFmtId="0" fontId="12" fillId="7" borderId="42" xfId="0" applyFont="1" applyFill="1" applyBorder="1"/>
    <xf numFmtId="0" fontId="12" fillId="7" borderId="12" xfId="0" applyFont="1" applyFill="1" applyBorder="1"/>
    <xf numFmtId="167" fontId="12" fillId="7" borderId="12" xfId="1" applyNumberFormat="1" applyFont="1" applyFill="1" applyBorder="1"/>
    <xf numFmtId="0" fontId="12" fillId="8" borderId="39" xfId="0" applyFont="1" applyFill="1" applyBorder="1"/>
    <xf numFmtId="167" fontId="12" fillId="8" borderId="39" xfId="1" applyNumberFormat="1" applyFont="1" applyFill="1" applyBorder="1"/>
    <xf numFmtId="0" fontId="12" fillId="8" borderId="1" xfId="0" applyFont="1" applyFill="1" applyBorder="1"/>
    <xf numFmtId="167" fontId="12" fillId="8" borderId="1" xfId="1" applyNumberFormat="1" applyFont="1" applyFill="1" applyBorder="1"/>
    <xf numFmtId="0" fontId="12" fillId="8" borderId="47" xfId="0" applyFont="1" applyFill="1" applyBorder="1"/>
    <xf numFmtId="0" fontId="12" fillId="10" borderId="39" xfId="0" applyFont="1" applyFill="1" applyBorder="1"/>
    <xf numFmtId="167" fontId="12" fillId="10" borderId="39" xfId="1" applyNumberFormat="1" applyFont="1" applyFill="1" applyBorder="1"/>
    <xf numFmtId="0" fontId="12" fillId="10" borderId="1" xfId="0" applyFont="1" applyFill="1" applyBorder="1"/>
    <xf numFmtId="167" fontId="12" fillId="10" borderId="1" xfId="1" applyNumberFormat="1" applyFont="1" applyFill="1" applyBorder="1"/>
    <xf numFmtId="0" fontId="12" fillId="10" borderId="47" xfId="0" applyFont="1" applyFill="1" applyBorder="1"/>
    <xf numFmtId="0" fontId="12" fillId="10" borderId="12" xfId="0" applyFont="1" applyFill="1" applyBorder="1"/>
    <xf numFmtId="167" fontId="12" fillId="10" borderId="12" xfId="1" applyNumberFormat="1" applyFont="1" applyFill="1" applyBorder="1"/>
    <xf numFmtId="6" fontId="12" fillId="3" borderId="46" xfId="2" applyNumberFormat="1" applyFont="1" applyFill="1" applyBorder="1"/>
    <xf numFmtId="6" fontId="12" fillId="3" borderId="1" xfId="2" applyNumberFormat="1" applyFont="1" applyFill="1" applyBorder="1"/>
    <xf numFmtId="6" fontId="12" fillId="9" borderId="39" xfId="2" applyNumberFormat="1" applyFont="1" applyFill="1" applyBorder="1"/>
    <xf numFmtId="6" fontId="12" fillId="9" borderId="1" xfId="2" applyNumberFormat="1" applyFont="1" applyFill="1" applyBorder="1"/>
    <xf numFmtId="0" fontId="12" fillId="0" borderId="12" xfId="0" applyFont="1" applyFill="1" applyBorder="1" applyAlignment="1">
      <alignment wrapText="1"/>
    </xf>
    <xf numFmtId="167" fontId="11" fillId="8" borderId="39" xfId="1" applyNumberFormat="1" applyFont="1" applyFill="1" applyBorder="1"/>
    <xf numFmtId="167" fontId="11" fillId="10" borderId="39" xfId="1" applyNumberFormat="1" applyFont="1" applyFill="1" applyBorder="1"/>
    <xf numFmtId="168" fontId="16" fillId="6" borderId="35" xfId="2" applyNumberFormat="1" applyFont="1" applyFill="1" applyBorder="1"/>
    <xf numFmtId="0" fontId="0" fillId="3" borderId="0" xfId="0" applyFill="1" applyBorder="1" applyAlignment="1">
      <alignment vertical="top" wrapText="1"/>
    </xf>
    <xf numFmtId="0" fontId="0" fillId="3" borderId="12" xfId="0" applyFill="1" applyBorder="1" applyAlignment="1">
      <alignment vertical="top" wrapText="1"/>
    </xf>
    <xf numFmtId="0" fontId="0" fillId="9" borderId="0" xfId="0" applyFill="1" applyAlignment="1">
      <alignment vertical="top"/>
    </xf>
    <xf numFmtId="0" fontId="0" fillId="9" borderId="12" xfId="0" applyFill="1" applyBorder="1" applyAlignment="1">
      <alignment vertical="top"/>
    </xf>
    <xf numFmtId="0" fontId="0" fillId="7" borderId="0" xfId="0" applyFill="1" applyAlignment="1">
      <alignment vertical="top"/>
    </xf>
    <xf numFmtId="0" fontId="0" fillId="7" borderId="12" xfId="0" applyFill="1" applyBorder="1" applyAlignment="1">
      <alignment vertical="top"/>
    </xf>
    <xf numFmtId="0" fontId="0" fillId="8" borderId="0" xfId="0" applyFill="1" applyAlignment="1">
      <alignment vertical="top"/>
    </xf>
    <xf numFmtId="0" fontId="0" fillId="8" borderId="12" xfId="0" applyFill="1" applyBorder="1" applyAlignment="1">
      <alignment vertical="top"/>
    </xf>
    <xf numFmtId="0" fontId="0" fillId="10" borderId="0" xfId="0" applyFill="1" applyAlignment="1">
      <alignment vertical="top"/>
    </xf>
    <xf numFmtId="0" fontId="0" fillId="10" borderId="12" xfId="0" applyFill="1" applyBorder="1" applyAlignment="1">
      <alignment vertical="top"/>
    </xf>
    <xf numFmtId="0" fontId="13" fillId="0" borderId="0" xfId="6"/>
    <xf numFmtId="0" fontId="13" fillId="0" borderId="0" xfId="6" applyAlignment="1">
      <alignment wrapText="1"/>
    </xf>
    <xf numFmtId="2" fontId="13" fillId="0" borderId="0" xfId="6" applyNumberFormat="1"/>
    <xf numFmtId="166" fontId="13" fillId="0" borderId="0" xfId="6" applyNumberFormat="1"/>
    <xf numFmtId="0" fontId="13" fillId="0" borderId="13" xfId="6" applyBorder="1"/>
    <xf numFmtId="2" fontId="13" fillId="0" borderId="48" xfId="6" applyNumberFormat="1" applyBorder="1" applyAlignment="1">
      <alignment horizontal="right"/>
    </xf>
    <xf numFmtId="0" fontId="13" fillId="0" borderId="48" xfId="6" applyBorder="1"/>
    <xf numFmtId="0" fontId="13" fillId="0" borderId="35" xfId="6" applyBorder="1"/>
    <xf numFmtId="170" fontId="13" fillId="0" borderId="0" xfId="6" applyNumberFormat="1"/>
    <xf numFmtId="44" fontId="0" fillId="0" borderId="0" xfId="2" applyFont="1"/>
    <xf numFmtId="0" fontId="0" fillId="15" borderId="0" xfId="0" applyFill="1"/>
    <xf numFmtId="0" fontId="0" fillId="16" borderId="0" xfId="0" applyFill="1" applyBorder="1" applyAlignment="1">
      <alignment horizontal="center" vertical="center"/>
    </xf>
    <xf numFmtId="0" fontId="0" fillId="16" borderId="43" xfId="0" quotePrefix="1" applyFill="1" applyBorder="1" applyAlignment="1">
      <alignment horizontal="center" vertical="center" wrapText="1"/>
    </xf>
    <xf numFmtId="0" fontId="12" fillId="16" borderId="43" xfId="0" applyFont="1" applyFill="1" applyBorder="1"/>
    <xf numFmtId="0" fontId="12" fillId="16" borderId="43" xfId="0" applyFont="1" applyFill="1" applyBorder="1" applyAlignment="1">
      <alignment horizontal="center" vertical="center"/>
    </xf>
    <xf numFmtId="167" fontId="12" fillId="16" borderId="43" xfId="1" applyNumberFormat="1" applyFont="1" applyFill="1" applyBorder="1"/>
    <xf numFmtId="44" fontId="12" fillId="16" borderId="43" xfId="2" applyFont="1" applyFill="1" applyBorder="1"/>
    <xf numFmtId="44" fontId="0" fillId="16" borderId="0" xfId="2" applyFont="1" applyFill="1" applyBorder="1"/>
    <xf numFmtId="0" fontId="12" fillId="16" borderId="46" xfId="0" applyFont="1" applyFill="1" applyBorder="1" applyAlignment="1">
      <alignment vertical="center"/>
    </xf>
    <xf numFmtId="0" fontId="12" fillId="16" borderId="46" xfId="0" applyFont="1" applyFill="1" applyBorder="1" applyAlignment="1">
      <alignment horizontal="center" vertical="center"/>
    </xf>
    <xf numFmtId="0" fontId="12" fillId="16" borderId="46" xfId="0" applyFont="1" applyFill="1" applyBorder="1"/>
    <xf numFmtId="167" fontId="12" fillId="16" borderId="46" xfId="1" applyNumberFormat="1" applyFont="1" applyFill="1" applyBorder="1"/>
    <xf numFmtId="44" fontId="12" fillId="16" borderId="46" xfId="2" applyFont="1" applyFill="1" applyBorder="1"/>
    <xf numFmtId="0" fontId="12" fillId="16" borderId="1" xfId="0" applyFont="1" applyFill="1" applyBorder="1" applyAlignment="1">
      <alignment vertical="center"/>
    </xf>
    <xf numFmtId="0" fontId="12" fillId="16" borderId="1" xfId="0" applyFont="1" applyFill="1" applyBorder="1" applyAlignment="1">
      <alignment horizontal="center" vertical="center"/>
    </xf>
    <xf numFmtId="0" fontId="12" fillId="16" borderId="1" xfId="0" applyFont="1" applyFill="1" applyBorder="1"/>
    <xf numFmtId="167" fontId="12" fillId="16" borderId="1" xfId="1" applyNumberFormat="1" applyFont="1" applyFill="1" applyBorder="1"/>
    <xf numFmtId="44" fontId="12" fillId="16" borderId="1" xfId="2" applyFont="1" applyFill="1" applyBorder="1"/>
    <xf numFmtId="0" fontId="0" fillId="16" borderId="0" xfId="0" applyFill="1" applyBorder="1"/>
    <xf numFmtId="0" fontId="0" fillId="16" borderId="44" xfId="0" applyFill="1" applyBorder="1" applyAlignment="1">
      <alignment horizontal="center" vertical="center" wrapText="1"/>
    </xf>
    <xf numFmtId="0" fontId="12" fillId="16" borderId="44" xfId="0" applyFont="1" applyFill="1" applyBorder="1" applyAlignment="1">
      <alignment vertical="center"/>
    </xf>
    <xf numFmtId="0" fontId="12" fillId="16" borderId="44" xfId="0" applyFont="1" applyFill="1" applyBorder="1" applyAlignment="1">
      <alignment horizontal="center" vertical="center"/>
    </xf>
    <xf numFmtId="0" fontId="12" fillId="16" borderId="44" xfId="0" applyFont="1" applyFill="1" applyBorder="1"/>
    <xf numFmtId="167" fontId="12" fillId="16" borderId="44" xfId="1" applyNumberFormat="1" applyFont="1" applyFill="1" applyBorder="1"/>
    <xf numFmtId="44" fontId="12" fillId="16" borderId="44" xfId="2" applyFont="1" applyFill="1" applyBorder="1"/>
    <xf numFmtId="0" fontId="0" fillId="16" borderId="12" xfId="0" applyFill="1" applyBorder="1" applyAlignment="1">
      <alignment horizontal="center" vertical="center" wrapText="1"/>
    </xf>
    <xf numFmtId="0" fontId="0" fillId="16" borderId="12" xfId="0" applyFont="1" applyFill="1" applyBorder="1"/>
    <xf numFmtId="0" fontId="12" fillId="16" borderId="12" xfId="0" applyFont="1" applyFill="1" applyBorder="1" applyAlignment="1">
      <alignment horizontal="center" vertical="center"/>
    </xf>
    <xf numFmtId="0" fontId="12" fillId="16" borderId="12" xfId="0" applyFont="1" applyFill="1" applyBorder="1"/>
    <xf numFmtId="44" fontId="12" fillId="16" borderId="12" xfId="2" applyFont="1" applyFill="1" applyBorder="1"/>
    <xf numFmtId="44" fontId="0" fillId="16" borderId="12" xfId="0" applyNumberFormat="1" applyFill="1" applyBorder="1"/>
    <xf numFmtId="0" fontId="0" fillId="16" borderId="0" xfId="0" applyFill="1"/>
    <xf numFmtId="0" fontId="0" fillId="16" borderId="1" xfId="0" applyFill="1" applyBorder="1"/>
    <xf numFmtId="0" fontId="0" fillId="16" borderId="44" xfId="0" applyFill="1" applyBorder="1" applyAlignment="1">
      <alignment horizontal="center" vertical="center"/>
    </xf>
    <xf numFmtId="0" fontId="0" fillId="16" borderId="44" xfId="0" applyFill="1" applyBorder="1"/>
    <xf numFmtId="0" fontId="0" fillId="16" borderId="12" xfId="0" applyFill="1" applyBorder="1" applyAlignment="1">
      <alignment horizontal="center" vertical="center"/>
    </xf>
    <xf numFmtId="0" fontId="0" fillId="16" borderId="12" xfId="0" applyFill="1" applyBorder="1"/>
    <xf numFmtId="3" fontId="12" fillId="16" borderId="1" xfId="0" applyNumberFormat="1" applyFont="1" applyFill="1" applyBorder="1"/>
    <xf numFmtId="0" fontId="0" fillId="16" borderId="47" xfId="0" applyFill="1" applyBorder="1"/>
    <xf numFmtId="0" fontId="12" fillId="16" borderId="47" xfId="0" applyFont="1" applyFill="1" applyBorder="1" applyAlignment="1">
      <alignment horizontal="center" vertical="center"/>
    </xf>
    <xf numFmtId="0" fontId="12" fillId="16" borderId="47" xfId="0" applyFont="1" applyFill="1" applyBorder="1"/>
    <xf numFmtId="3" fontId="12" fillId="16" borderId="47" xfId="0" applyNumberFormat="1" applyFont="1" applyFill="1" applyBorder="1"/>
    <xf numFmtId="44" fontId="12" fillId="16" borderId="47" xfId="2" applyFont="1" applyFill="1" applyBorder="1"/>
    <xf numFmtId="3" fontId="12" fillId="16" borderId="12" xfId="0" applyNumberFormat="1" applyFont="1" applyFill="1" applyBorder="1"/>
    <xf numFmtId="167" fontId="12" fillId="16" borderId="12" xfId="1" applyNumberFormat="1" applyFont="1" applyFill="1" applyBorder="1"/>
    <xf numFmtId="167" fontId="12" fillId="16" borderId="47" xfId="1" applyNumberFormat="1" applyFont="1" applyFill="1" applyBorder="1"/>
    <xf numFmtId="0" fontId="1" fillId="0" borderId="41" xfId="0" applyFont="1" applyBorder="1"/>
    <xf numFmtId="2" fontId="1" fillId="0" borderId="41" xfId="0" applyNumberFormat="1" applyFont="1" applyBorder="1"/>
    <xf numFmtId="0" fontId="0" fillId="0" borderId="41" xfId="0" applyFont="1" applyBorder="1"/>
    <xf numFmtId="2" fontId="0" fillId="0" borderId="41" xfId="0" applyNumberFormat="1" applyBorder="1"/>
    <xf numFmtId="172" fontId="1" fillId="0" borderId="41" xfId="0" applyNumberFormat="1" applyFont="1" applyBorder="1"/>
    <xf numFmtId="0" fontId="7" fillId="4" borderId="10" xfId="3" applyFill="1" applyBorder="1" applyAlignment="1">
      <alignment textRotation="90"/>
    </xf>
    <xf numFmtId="0" fontId="7" fillId="4" borderId="5" xfId="3" applyFill="1" applyBorder="1" applyAlignment="1">
      <alignment textRotation="90"/>
    </xf>
    <xf numFmtId="168" fontId="8" fillId="4" borderId="11" xfId="2" applyNumberFormat="1" applyFont="1" applyFill="1" applyBorder="1" applyAlignment="1">
      <alignment textRotation="90"/>
    </xf>
    <xf numFmtId="168" fontId="8" fillId="4" borderId="12" xfId="2" applyNumberFormat="1" applyFont="1" applyFill="1" applyBorder="1" applyAlignment="1">
      <alignment textRotation="90"/>
    </xf>
    <xf numFmtId="168" fontId="8" fillId="4" borderId="12" xfId="2" applyNumberFormat="1" applyFont="1" applyFill="1" applyBorder="1" applyAlignment="1">
      <alignment textRotation="90" wrapText="1"/>
    </xf>
    <xf numFmtId="168" fontId="8" fillId="4" borderId="5" xfId="2" applyNumberFormat="1" applyFont="1" applyFill="1" applyBorder="1" applyAlignment="1">
      <alignment textRotation="90" wrapText="1"/>
    </xf>
    <xf numFmtId="0" fontId="7" fillId="0" borderId="0" xfId="3" applyAlignment="1">
      <alignment textRotation="90"/>
    </xf>
    <xf numFmtId="168" fontId="8" fillId="4" borderId="11" xfId="2" applyNumberFormat="1" applyFont="1" applyFill="1" applyBorder="1" applyAlignment="1">
      <alignment textRotation="90" wrapText="1"/>
    </xf>
    <xf numFmtId="168" fontId="8" fillId="3" borderId="9" xfId="2" applyNumberFormat="1" applyFont="1" applyFill="1" applyBorder="1" applyAlignment="1"/>
    <xf numFmtId="44" fontId="0" fillId="0" borderId="41" xfId="2" applyFont="1" applyBorder="1"/>
    <xf numFmtId="44" fontId="0" fillId="0" borderId="41" xfId="2" applyFont="1" applyFill="1" applyBorder="1"/>
    <xf numFmtId="171" fontId="0" fillId="0" borderId="0" xfId="0" applyNumberFormat="1"/>
    <xf numFmtId="168" fontId="8" fillId="8" borderId="12" xfId="2" applyNumberFormat="1" applyFont="1" applyFill="1" applyBorder="1" applyAlignment="1">
      <alignment textRotation="90" wrapText="1"/>
    </xf>
    <xf numFmtId="168" fontId="7" fillId="8" borderId="15" xfId="2" applyNumberFormat="1" applyFont="1" applyFill="1" applyBorder="1"/>
    <xf numFmtId="168" fontId="7" fillId="8" borderId="0" xfId="2" applyNumberFormat="1" applyFont="1" applyFill="1" applyBorder="1"/>
    <xf numFmtId="168" fontId="7" fillId="8" borderId="12" xfId="2" applyNumberFormat="1" applyFont="1" applyFill="1" applyBorder="1"/>
    <xf numFmtId="168" fontId="7" fillId="8" borderId="24" xfId="2" applyNumberFormat="1" applyFont="1" applyFill="1" applyBorder="1"/>
    <xf numFmtId="42" fontId="0" fillId="0" borderId="0" xfId="7" applyNumberFormat="1" applyFont="1"/>
    <xf numFmtId="0" fontId="1" fillId="0" borderId="0" xfId="0" applyFont="1" applyAlignment="1"/>
    <xf numFmtId="42" fontId="0" fillId="0" borderId="0" xfId="7" applyNumberFormat="1" applyFont="1" applyAlignment="1">
      <alignment horizontal="center" vertical="center"/>
    </xf>
    <xf numFmtId="0" fontId="0" fillId="17" borderId="0" xfId="0" applyFill="1"/>
    <xf numFmtId="0" fontId="1" fillId="0" borderId="0" xfId="0" applyFont="1" applyFill="1" applyAlignment="1">
      <alignment horizontal="center"/>
    </xf>
    <xf numFmtId="0" fontId="0" fillId="0" borderId="0" xfId="0" applyFill="1" applyAlignment="1">
      <alignment horizontal="right"/>
    </xf>
    <xf numFmtId="0" fontId="0" fillId="0" borderId="0" xfId="0" applyFont="1" applyFill="1" applyAlignment="1"/>
    <xf numFmtId="0" fontId="0" fillId="0" borderId="0" xfId="0" applyFont="1" applyFill="1" applyAlignment="1">
      <alignment horizontal="center"/>
    </xf>
    <xf numFmtId="0" fontId="1" fillId="0" borderId="0" xfId="0" applyFont="1" applyFill="1" applyAlignment="1"/>
    <xf numFmtId="2" fontId="0" fillId="0" borderId="0" xfId="0" applyNumberFormat="1" applyFill="1"/>
    <xf numFmtId="0" fontId="0" fillId="19" borderId="0" xfId="0" applyFill="1"/>
    <xf numFmtId="42" fontId="0" fillId="0" borderId="0" xfId="7" applyNumberFormat="1" applyFont="1" applyFill="1" applyAlignment="1">
      <alignment horizontal="center" vertical="center"/>
    </xf>
    <xf numFmtId="0" fontId="25" fillId="0" borderId="0" xfId="0" applyFont="1" applyFill="1" applyAlignment="1"/>
    <xf numFmtId="0" fontId="1" fillId="0" borderId="41" xfId="0" applyFont="1" applyBorder="1" applyAlignment="1">
      <alignment horizontal="center" vertical="center" wrapText="1"/>
    </xf>
    <xf numFmtId="0" fontId="1" fillId="0" borderId="41" xfId="0" applyFont="1" applyBorder="1" applyAlignment="1">
      <alignment vertical="center"/>
    </xf>
    <xf numFmtId="0" fontId="1" fillId="0" borderId="41" xfId="0" applyFont="1" applyFill="1" applyBorder="1" applyAlignment="1">
      <alignment horizontal="center" vertical="center" wrapText="1"/>
    </xf>
    <xf numFmtId="1" fontId="0" fillId="0" borderId="41" xfId="0" applyNumberFormat="1" applyFont="1" applyFill="1" applyBorder="1" applyAlignment="1">
      <alignment horizontal="center"/>
    </xf>
    <xf numFmtId="0" fontId="0" fillId="0" borderId="41" xfId="0" applyFont="1" applyFill="1" applyBorder="1" applyAlignment="1">
      <alignment horizontal="center"/>
    </xf>
    <xf numFmtId="42" fontId="0" fillId="0" borderId="41" xfId="7" applyNumberFormat="1" applyFont="1" applyBorder="1"/>
    <xf numFmtId="0" fontId="0" fillId="0" borderId="41" xfId="0" applyFill="1" applyBorder="1" applyAlignment="1">
      <alignment horizontal="right"/>
    </xf>
    <xf numFmtId="0" fontId="0" fillId="0" borderId="41" xfId="0" applyFill="1" applyBorder="1"/>
    <xf numFmtId="2" fontId="0" fillId="0" borderId="41" xfId="0" applyNumberFormat="1" applyFill="1" applyBorder="1"/>
    <xf numFmtId="0" fontId="0" fillId="0" borderId="41" xfId="0" applyBorder="1" applyAlignment="1">
      <alignment horizontal="right"/>
    </xf>
    <xf numFmtId="1" fontId="0" fillId="0" borderId="41" xfId="0" applyNumberFormat="1" applyBorder="1"/>
    <xf numFmtId="42" fontId="0" fillId="0" borderId="41" xfId="7" applyNumberFormat="1" applyFont="1" applyBorder="1" applyAlignment="1">
      <alignment vertical="center"/>
    </xf>
    <xf numFmtId="0" fontId="0" fillId="21" borderId="0" xfId="0" applyFill="1"/>
    <xf numFmtId="44" fontId="0" fillId="21" borderId="0" xfId="0" applyNumberFormat="1" applyFill="1"/>
    <xf numFmtId="10" fontId="18" fillId="21" borderId="0" xfId="8" applyNumberFormat="1" applyFont="1" applyFill="1"/>
    <xf numFmtId="1" fontId="0" fillId="0" borderId="49" xfId="0" applyNumberFormat="1" applyFont="1" applyFill="1" applyBorder="1" applyAlignment="1">
      <alignment horizontal="center"/>
    </xf>
    <xf numFmtId="0" fontId="0" fillId="0" borderId="49" xfId="0" applyFont="1" applyFill="1" applyBorder="1" applyAlignment="1">
      <alignment horizontal="center"/>
    </xf>
    <xf numFmtId="1" fontId="0" fillId="0" borderId="0" xfId="0" applyNumberFormat="1" applyFont="1" applyFill="1" applyBorder="1" applyAlignment="1">
      <alignment horizontal="center"/>
    </xf>
    <xf numFmtId="0" fontId="0" fillId="0" borderId="0" xfId="0" applyFont="1" applyFill="1" applyBorder="1" applyAlignment="1">
      <alignment horizontal="center"/>
    </xf>
    <xf numFmtId="42" fontId="0" fillId="0" borderId="0" xfId="7" applyNumberFormat="1" applyFont="1" applyBorder="1"/>
    <xf numFmtId="0" fontId="1" fillId="0" borderId="49" xfId="0" applyFont="1" applyBorder="1" applyAlignment="1">
      <alignment horizontal="center" vertical="center" wrapText="1"/>
    </xf>
    <xf numFmtId="42" fontId="0" fillId="0" borderId="0" xfId="7" applyNumberFormat="1" applyFont="1" applyBorder="1" applyAlignment="1">
      <alignment vertical="center"/>
    </xf>
    <xf numFmtId="42" fontId="28" fillId="20" borderId="0" xfId="0" applyNumberFormat="1" applyFont="1" applyFill="1" applyAlignment="1">
      <alignment vertical="center"/>
    </xf>
    <xf numFmtId="0" fontId="27" fillId="0" borderId="0" xfId="0" applyFont="1" applyFill="1" applyAlignment="1">
      <alignment vertical="center" wrapText="1"/>
    </xf>
    <xf numFmtId="0" fontId="28" fillId="0" borderId="0" xfId="0" applyFont="1" applyFill="1" applyAlignment="1">
      <alignment vertical="center"/>
    </xf>
    <xf numFmtId="42" fontId="28" fillId="20" borderId="35" xfId="0" applyNumberFormat="1" applyFont="1" applyFill="1" applyBorder="1" applyAlignment="1">
      <alignment vertical="center"/>
    </xf>
    <xf numFmtId="0" fontId="25" fillId="0" borderId="0" xfId="0" applyFont="1"/>
    <xf numFmtId="44" fontId="0" fillId="17" borderId="0" xfId="0" applyNumberFormat="1" applyFill="1" applyAlignment="1">
      <alignment horizontal="left"/>
    </xf>
    <xf numFmtId="42" fontId="0" fillId="0" borderId="0" xfId="7" applyNumberFormat="1" applyFont="1" applyFill="1" applyBorder="1"/>
    <xf numFmtId="42" fontId="0" fillId="0" borderId="0" xfId="7" applyNumberFormat="1" applyFont="1" applyFill="1" applyBorder="1" applyAlignment="1">
      <alignment vertical="center"/>
    </xf>
    <xf numFmtId="2" fontId="0" fillId="0" borderId="41" xfId="0" applyNumberFormat="1" applyFont="1" applyFill="1" applyBorder="1" applyAlignment="1">
      <alignment horizontal="center"/>
    </xf>
    <xf numFmtId="1" fontId="0" fillId="0" borderId="0" xfId="0" applyNumberFormat="1" applyBorder="1"/>
    <xf numFmtId="42" fontId="0" fillId="0" borderId="53" xfId="7" applyNumberFormat="1" applyFont="1" applyBorder="1"/>
    <xf numFmtId="0" fontId="26" fillId="0" borderId="0" xfId="0" applyFont="1" applyFill="1" applyAlignment="1">
      <alignment wrapText="1"/>
    </xf>
    <xf numFmtId="0" fontId="1" fillId="0" borderId="0" xfId="0" applyFont="1" applyBorder="1" applyAlignment="1">
      <alignment horizontal="center" vertical="center" wrapText="1"/>
    </xf>
    <xf numFmtId="2" fontId="0" fillId="0" borderId="0" xfId="0" applyNumberFormat="1" applyFont="1" applyFill="1" applyBorder="1" applyAlignment="1">
      <alignment horizontal="center"/>
    </xf>
    <xf numFmtId="0" fontId="25" fillId="0" borderId="0" xfId="0" applyFont="1" applyFill="1" applyAlignment="1">
      <alignment vertical="top"/>
    </xf>
    <xf numFmtId="0" fontId="12" fillId="9" borderId="43" xfId="0" applyFont="1" applyFill="1" applyBorder="1" applyAlignment="1">
      <alignment horizontal="center" vertical="center"/>
    </xf>
    <xf numFmtId="3" fontId="12" fillId="9" borderId="39" xfId="0" applyNumberFormat="1" applyFont="1" applyFill="1" applyBorder="1"/>
    <xf numFmtId="0" fontId="12" fillId="3" borderId="43" xfId="0" applyFont="1" applyFill="1" applyBorder="1" applyAlignment="1">
      <alignment horizontal="center" wrapText="1"/>
    </xf>
    <xf numFmtId="44" fontId="0" fillId="0" borderId="0" xfId="0" applyNumberFormat="1" applyAlignment="1">
      <alignment wrapText="1"/>
    </xf>
    <xf numFmtId="0" fontId="0" fillId="22" borderId="0" xfId="0" applyFill="1"/>
    <xf numFmtId="44" fontId="0" fillId="22" borderId="0" xfId="2" applyFont="1" applyFill="1"/>
    <xf numFmtId="0" fontId="0" fillId="22" borderId="0" xfId="0" applyFill="1" applyAlignment="1">
      <alignment horizontal="center"/>
    </xf>
    <xf numFmtId="167" fontId="0" fillId="22" borderId="0" xfId="0" applyNumberFormat="1" applyFill="1"/>
    <xf numFmtId="173" fontId="0" fillId="22" borderId="0" xfId="0" applyNumberFormat="1" applyFill="1"/>
    <xf numFmtId="0" fontId="0" fillId="0" borderId="41" xfId="0" applyFont="1" applyFill="1" applyBorder="1" applyAlignment="1">
      <alignment wrapText="1"/>
    </xf>
    <xf numFmtId="0" fontId="0" fillId="0" borderId="41" xfId="0" applyFont="1" applyFill="1" applyBorder="1"/>
    <xf numFmtId="0" fontId="0" fillId="7" borderId="41" xfId="0" applyFill="1" applyBorder="1"/>
    <xf numFmtId="44" fontId="0" fillId="7" borderId="41" xfId="2" applyFont="1" applyFill="1" applyBorder="1"/>
    <xf numFmtId="0" fontId="13" fillId="0" borderId="41" xfId="6" applyBorder="1" applyAlignment="1">
      <alignment horizontal="center"/>
    </xf>
    <xf numFmtId="0" fontId="13" fillId="0" borderId="0" xfId="6" applyAlignment="1">
      <alignment horizontal="center"/>
    </xf>
    <xf numFmtId="1" fontId="8" fillId="15" borderId="12" xfId="3" applyNumberFormat="1" applyFont="1" applyFill="1" applyBorder="1" applyAlignment="1"/>
    <xf numFmtId="0" fontId="13" fillId="19" borderId="0" xfId="6" applyFill="1"/>
    <xf numFmtId="0" fontId="25" fillId="0" borderId="0" xfId="6" applyFont="1"/>
    <xf numFmtId="0" fontId="1" fillId="0" borderId="0" xfId="6" applyFont="1" applyAlignment="1">
      <alignment horizontal="center"/>
    </xf>
    <xf numFmtId="0" fontId="1" fillId="0" borderId="41" xfId="6" applyFont="1" applyBorder="1" applyAlignment="1">
      <alignment horizontal="center" vertical="center" wrapText="1"/>
    </xf>
    <xf numFmtId="0" fontId="13" fillId="0" borderId="41" xfId="6" applyBorder="1"/>
    <xf numFmtId="1" fontId="13" fillId="0" borderId="41" xfId="6" applyNumberFormat="1" applyBorder="1"/>
    <xf numFmtId="0" fontId="14" fillId="12" borderId="41" xfId="9" applyBorder="1"/>
    <xf numFmtId="44" fontId="0" fillId="0" borderId="0" xfId="7" applyFont="1"/>
    <xf numFmtId="1" fontId="13" fillId="0" borderId="0" xfId="6" applyNumberFormat="1"/>
    <xf numFmtId="0" fontId="13" fillId="15" borderId="0" xfId="6" applyFill="1"/>
    <xf numFmtId="42" fontId="0" fillId="0" borderId="0" xfId="7" applyNumberFormat="1" applyFont="1" applyBorder="1" applyAlignment="1">
      <alignment horizontal="center" vertical="center" wrapText="1"/>
    </xf>
    <xf numFmtId="0" fontId="1" fillId="0" borderId="41" xfId="6" applyFont="1" applyBorder="1" applyAlignment="1">
      <alignment vertical="center"/>
    </xf>
    <xf numFmtId="0" fontId="1" fillId="0" borderId="54" xfId="6" applyFont="1" applyBorder="1" applyAlignment="1">
      <alignment horizontal="center" vertical="center" wrapText="1"/>
    </xf>
    <xf numFmtId="2" fontId="13" fillId="0" borderId="41" xfId="6" applyNumberFormat="1" applyBorder="1"/>
    <xf numFmtId="0" fontId="1" fillId="0" borderId="49" xfId="6" applyFont="1" applyBorder="1" applyAlignment="1">
      <alignment horizontal="center" vertical="center" wrapText="1"/>
    </xf>
    <xf numFmtId="2" fontId="13" fillId="0" borderId="41" xfId="6" applyNumberFormat="1" applyBorder="1" applyAlignment="1">
      <alignment horizontal="center"/>
    </xf>
    <xf numFmtId="1" fontId="13" fillId="0" borderId="41" xfId="6" applyNumberFormat="1" applyBorder="1" applyAlignment="1">
      <alignment horizontal="center"/>
    </xf>
    <xf numFmtId="1" fontId="13" fillId="0" borderId="0" xfId="6" applyNumberFormat="1" applyAlignment="1">
      <alignment horizontal="center"/>
    </xf>
    <xf numFmtId="42" fontId="0" fillId="0" borderId="0" xfId="7" applyNumberFormat="1" applyFont="1" applyAlignment="1">
      <alignment vertical="center"/>
    </xf>
    <xf numFmtId="0" fontId="26" fillId="0" borderId="0" xfId="6" applyFont="1" applyAlignment="1">
      <alignment wrapText="1"/>
    </xf>
    <xf numFmtId="0" fontId="25" fillId="0" borderId="0" xfId="6" applyFont="1" applyAlignment="1">
      <alignment vertical="top"/>
    </xf>
    <xf numFmtId="0" fontId="1" fillId="0" borderId="0" xfId="6" applyFont="1" applyAlignment="1">
      <alignment horizontal="center" vertical="center" wrapText="1"/>
    </xf>
    <xf numFmtId="2" fontId="13" fillId="0" borderId="0" xfId="6" applyNumberFormat="1" applyAlignment="1">
      <alignment horizontal="center"/>
    </xf>
    <xf numFmtId="42" fontId="28" fillId="20" borderId="35" xfId="6" applyNumberFormat="1" applyFont="1" applyFill="1" applyBorder="1" applyAlignment="1">
      <alignment vertical="center"/>
    </xf>
    <xf numFmtId="42" fontId="13" fillId="0" borderId="0" xfId="6" applyNumberFormat="1"/>
    <xf numFmtId="0" fontId="1" fillId="18" borderId="0" xfId="0" applyFont="1" applyFill="1" applyAlignment="1"/>
    <xf numFmtId="42" fontId="0" fillId="0" borderId="0" xfId="0" applyNumberFormat="1"/>
    <xf numFmtId="0" fontId="1" fillId="0" borderId="0" xfId="0" applyFont="1" applyFill="1" applyAlignment="1">
      <alignment horizontal="center"/>
    </xf>
    <xf numFmtId="42" fontId="1" fillId="0" borderId="0" xfId="0" applyNumberFormat="1" applyFont="1"/>
    <xf numFmtId="0" fontId="31" fillId="0" borderId="0" xfId="0" applyFont="1" applyAlignment="1">
      <alignment vertical="center"/>
    </xf>
    <xf numFmtId="6" fontId="0" fillId="0" borderId="0" xfId="0" applyNumberFormat="1"/>
    <xf numFmtId="0" fontId="0" fillId="13" borderId="43" xfId="0" applyFill="1" applyBorder="1" applyAlignment="1">
      <alignment horizontal="center" vertical="center"/>
    </xf>
    <xf numFmtId="0" fontId="12" fillId="13" borderId="43" xfId="0" applyFont="1" applyFill="1" applyBorder="1"/>
    <xf numFmtId="0" fontId="12" fillId="13" borderId="43" xfId="0" applyFont="1" applyFill="1" applyBorder="1" applyAlignment="1">
      <alignment horizontal="center" vertical="center"/>
    </xf>
    <xf numFmtId="167" fontId="12" fillId="13" borderId="43" xfId="1" applyNumberFormat="1" applyFont="1" applyFill="1" applyBorder="1"/>
    <xf numFmtId="44" fontId="12" fillId="13" borderId="43" xfId="2" applyFont="1" applyFill="1" applyBorder="1"/>
    <xf numFmtId="0" fontId="0" fillId="13" borderId="9" xfId="0" applyFill="1" applyBorder="1"/>
    <xf numFmtId="0" fontId="0" fillId="13" borderId="0" xfId="0" applyFill="1" applyAlignment="1">
      <alignment vertical="top"/>
    </xf>
    <xf numFmtId="0" fontId="12" fillId="13" borderId="39" xfId="0" applyFont="1" applyFill="1" applyBorder="1"/>
    <xf numFmtId="0" fontId="12" fillId="13" borderId="39" xfId="0" applyFont="1" applyFill="1" applyBorder="1" applyAlignment="1">
      <alignment horizontal="center" vertical="center"/>
    </xf>
    <xf numFmtId="167" fontId="12" fillId="13" borderId="39" xfId="1" applyNumberFormat="1" applyFont="1" applyFill="1" applyBorder="1"/>
    <xf numFmtId="44" fontId="12" fillId="13" borderId="39" xfId="2" applyFont="1" applyFill="1" applyBorder="1"/>
    <xf numFmtId="0" fontId="0" fillId="13" borderId="0" xfId="0" applyFill="1" applyBorder="1"/>
    <xf numFmtId="0" fontId="12" fillId="13" borderId="1" xfId="0" applyFont="1" applyFill="1" applyBorder="1"/>
    <xf numFmtId="0" fontId="12" fillId="13" borderId="1" xfId="0" applyFont="1" applyFill="1" applyBorder="1" applyAlignment="1">
      <alignment horizontal="center" vertical="center"/>
    </xf>
    <xf numFmtId="44" fontId="12" fillId="13" borderId="1" xfId="2" applyFont="1" applyFill="1" applyBorder="1"/>
    <xf numFmtId="0" fontId="0" fillId="13" borderId="1" xfId="0" applyFill="1" applyBorder="1"/>
    <xf numFmtId="0" fontId="12" fillId="13" borderId="0" xfId="0" applyFont="1" applyFill="1" applyBorder="1" applyAlignment="1">
      <alignment horizontal="center" vertical="center"/>
    </xf>
    <xf numFmtId="167" fontId="12" fillId="13" borderId="0" xfId="1" applyNumberFormat="1" applyFont="1" applyFill="1" applyBorder="1"/>
    <xf numFmtId="44" fontId="12" fillId="13" borderId="0" xfId="2" applyFont="1" applyFill="1" applyBorder="1"/>
    <xf numFmtId="0" fontId="0" fillId="13" borderId="47" xfId="0" applyFill="1" applyBorder="1"/>
    <xf numFmtId="0" fontId="12" fillId="13" borderId="47" xfId="0" applyFont="1" applyFill="1" applyBorder="1" applyAlignment="1">
      <alignment horizontal="center" vertical="center"/>
    </xf>
    <xf numFmtId="3" fontId="12" fillId="13" borderId="47" xfId="0" applyNumberFormat="1" applyFont="1" applyFill="1" applyBorder="1"/>
    <xf numFmtId="0" fontId="12" fillId="13" borderId="47" xfId="0" applyFont="1" applyFill="1" applyBorder="1"/>
    <xf numFmtId="44" fontId="12" fillId="13" borderId="47" xfId="2" applyFont="1" applyFill="1" applyBorder="1"/>
    <xf numFmtId="0" fontId="0" fillId="13" borderId="39" xfId="0" applyFill="1" applyBorder="1"/>
    <xf numFmtId="44" fontId="0" fillId="13" borderId="0" xfId="2" applyFont="1" applyFill="1" applyBorder="1"/>
    <xf numFmtId="0" fontId="0" fillId="13" borderId="12" xfId="0" applyFill="1" applyBorder="1" applyAlignment="1">
      <alignment horizontal="center" vertical="center"/>
    </xf>
    <xf numFmtId="0" fontId="12" fillId="13" borderId="12" xfId="0" applyFont="1" applyFill="1" applyBorder="1"/>
    <xf numFmtId="0" fontId="12" fillId="13" borderId="12" xfId="0" applyFont="1" applyFill="1" applyBorder="1" applyAlignment="1">
      <alignment horizontal="center" vertical="center"/>
    </xf>
    <xf numFmtId="167" fontId="12" fillId="13" borderId="12" xfId="1" applyNumberFormat="1" applyFont="1" applyFill="1" applyBorder="1"/>
    <xf numFmtId="44" fontId="12" fillId="13" borderId="12" xfId="2" applyFont="1" applyFill="1" applyBorder="1"/>
    <xf numFmtId="44" fontId="0" fillId="13" borderId="12" xfId="2" applyFont="1" applyFill="1" applyBorder="1"/>
    <xf numFmtId="0" fontId="0" fillId="13" borderId="12" xfId="0" applyFill="1" applyBorder="1" applyAlignment="1">
      <alignment vertical="top"/>
    </xf>
    <xf numFmtId="0" fontId="0" fillId="23" borderId="0" xfId="0" applyFill="1" applyBorder="1" applyAlignment="1">
      <alignment horizontal="center" vertical="center"/>
    </xf>
    <xf numFmtId="0" fontId="0" fillId="23" borderId="43" xfId="0" quotePrefix="1" applyFill="1" applyBorder="1" applyAlignment="1">
      <alignment horizontal="center" vertical="center" wrapText="1"/>
    </xf>
    <xf numFmtId="0" fontId="12" fillId="23" borderId="43" xfId="0" applyFont="1" applyFill="1" applyBorder="1"/>
    <xf numFmtId="0" fontId="12" fillId="23" borderId="43" xfId="0" applyFont="1" applyFill="1" applyBorder="1" applyAlignment="1">
      <alignment horizontal="center" vertical="center"/>
    </xf>
    <xf numFmtId="167" fontId="12" fillId="23" borderId="43" xfId="1" applyNumberFormat="1" applyFont="1" applyFill="1" applyBorder="1"/>
    <xf numFmtId="44" fontId="12" fillId="23" borderId="43" xfId="2" applyFont="1" applyFill="1" applyBorder="1"/>
    <xf numFmtId="44" fontId="0" fillId="23" borderId="0" xfId="2" applyFont="1" applyFill="1" applyBorder="1"/>
    <xf numFmtId="0" fontId="12" fillId="23" borderId="46" xfId="0" applyFont="1" applyFill="1" applyBorder="1" applyAlignment="1">
      <alignment vertical="center"/>
    </xf>
    <xf numFmtId="0" fontId="12" fillId="23" borderId="46" xfId="0" applyFont="1" applyFill="1" applyBorder="1" applyAlignment="1">
      <alignment horizontal="center" vertical="center"/>
    </xf>
    <xf numFmtId="167" fontId="12" fillId="23" borderId="46" xfId="1" applyNumberFormat="1" applyFont="1" applyFill="1" applyBorder="1"/>
    <xf numFmtId="0" fontId="12" fillId="23" borderId="46" xfId="0" applyFont="1" applyFill="1" applyBorder="1"/>
    <xf numFmtId="44" fontId="12" fillId="23" borderId="46" xfId="2" applyFont="1" applyFill="1" applyBorder="1"/>
    <xf numFmtId="0" fontId="0" fillId="23" borderId="0" xfId="0" applyFill="1" applyBorder="1"/>
    <xf numFmtId="0" fontId="0" fillId="23" borderId="1" xfId="0" applyFill="1" applyBorder="1"/>
    <xf numFmtId="0" fontId="12" fillId="23" borderId="1" xfId="0" applyFont="1" applyFill="1" applyBorder="1" applyAlignment="1">
      <alignment horizontal="center" vertical="center"/>
    </xf>
    <xf numFmtId="0" fontId="12" fillId="23" borderId="1" xfId="0" applyFont="1" applyFill="1" applyBorder="1"/>
    <xf numFmtId="44" fontId="12" fillId="23" borderId="1" xfId="2" applyFont="1" applyFill="1" applyBorder="1"/>
    <xf numFmtId="0" fontId="0" fillId="23" borderId="47" xfId="0" applyFill="1" applyBorder="1"/>
    <xf numFmtId="0" fontId="12" fillId="23" borderId="47" xfId="0" applyFont="1" applyFill="1" applyBorder="1" applyAlignment="1">
      <alignment horizontal="center" vertical="center"/>
    </xf>
    <xf numFmtId="167" fontId="12" fillId="23" borderId="47" xfId="1" applyNumberFormat="1" applyFont="1" applyFill="1" applyBorder="1"/>
    <xf numFmtId="0" fontId="12" fillId="23" borderId="47" xfId="0" applyFont="1" applyFill="1" applyBorder="1"/>
    <xf numFmtId="44" fontId="12" fillId="23" borderId="47" xfId="2" applyFont="1" applyFill="1" applyBorder="1"/>
    <xf numFmtId="0" fontId="0" fillId="23" borderId="12" xfId="0" applyFill="1" applyBorder="1" applyAlignment="1">
      <alignment horizontal="center" vertical="center"/>
    </xf>
    <xf numFmtId="0" fontId="0" fillId="23" borderId="12" xfId="0" applyFill="1" applyBorder="1"/>
    <xf numFmtId="0" fontId="12" fillId="23" borderId="12" xfId="0" applyFont="1" applyFill="1" applyBorder="1" applyAlignment="1">
      <alignment horizontal="center" vertical="center"/>
    </xf>
    <xf numFmtId="167" fontId="12" fillId="23" borderId="12" xfId="1" applyNumberFormat="1" applyFont="1" applyFill="1" applyBorder="1"/>
    <xf numFmtId="0" fontId="12" fillId="23" borderId="12" xfId="0" applyFont="1" applyFill="1" applyBorder="1"/>
    <xf numFmtId="44" fontId="12" fillId="23" borderId="12" xfId="2" applyFont="1" applyFill="1" applyBorder="1"/>
    <xf numFmtId="44" fontId="0" fillId="23" borderId="12" xfId="0" applyNumberFormat="1" applyFill="1" applyBorder="1"/>
    <xf numFmtId="0" fontId="0" fillId="23" borderId="0" xfId="0" applyFill="1"/>
    <xf numFmtId="44" fontId="12" fillId="3" borderId="43" xfId="2" applyFont="1" applyFill="1" applyBorder="1" applyAlignment="1">
      <alignment wrapText="1"/>
    </xf>
    <xf numFmtId="168" fontId="8" fillId="3" borderId="9" xfId="2" applyNumberFormat="1" applyFont="1" applyFill="1" applyBorder="1" applyAlignment="1"/>
    <xf numFmtId="174" fontId="0" fillId="13" borderId="0" xfId="0" applyNumberFormat="1" applyFill="1" applyBorder="1"/>
    <xf numFmtId="168" fontId="7" fillId="0" borderId="0" xfId="3" applyNumberFormat="1"/>
    <xf numFmtId="0" fontId="32" fillId="0" borderId="0" xfId="0" applyFont="1"/>
    <xf numFmtId="0" fontId="13" fillId="0" borderId="0" xfId="6"/>
    <xf numFmtId="9" fontId="13" fillId="0" borderId="0" xfId="6" applyNumberFormat="1"/>
    <xf numFmtId="10" fontId="13" fillId="0" borderId="0" xfId="6" applyNumberFormat="1"/>
    <xf numFmtId="0" fontId="13" fillId="0" borderId="0" xfId="6" applyAlignment="1">
      <alignment horizontal="left" wrapText="1"/>
    </xf>
    <xf numFmtId="171" fontId="13" fillId="0" borderId="0" xfId="6" applyNumberFormat="1"/>
    <xf numFmtId="9" fontId="13" fillId="0" borderId="0" xfId="10" applyFont="1"/>
    <xf numFmtId="0" fontId="30" fillId="0" borderId="0" xfId="6" applyFont="1"/>
    <xf numFmtId="171" fontId="30" fillId="0" borderId="0" xfId="6" applyNumberFormat="1" applyFont="1"/>
    <xf numFmtId="2" fontId="12" fillId="7" borderId="1" xfId="0" applyNumberFormat="1" applyFont="1" applyFill="1" applyBorder="1"/>
    <xf numFmtId="8" fontId="12" fillId="9" borderId="1" xfId="2" applyNumberFormat="1" applyFont="1" applyFill="1" applyBorder="1"/>
    <xf numFmtId="8" fontId="12" fillId="3" borderId="1" xfId="2" applyNumberFormat="1" applyFont="1" applyFill="1" applyBorder="1"/>
    <xf numFmtId="0" fontId="7" fillId="5" borderId="23" xfId="2" applyNumberFormat="1" applyFont="1" applyFill="1" applyBorder="1"/>
    <xf numFmtId="0" fontId="13" fillId="0" borderId="0" xfId="0" applyFont="1" applyAlignment="1">
      <alignment vertical="center"/>
    </xf>
    <xf numFmtId="0" fontId="0" fillId="0" borderId="8" xfId="0" applyBorder="1" applyAlignment="1">
      <alignment horizontal="center" vertical="center"/>
    </xf>
    <xf numFmtId="0" fontId="15" fillId="0" borderId="9" xfId="0" applyFont="1" applyBorder="1"/>
    <xf numFmtId="0" fontId="12" fillId="0" borderId="9" xfId="0" applyFont="1" applyBorder="1"/>
    <xf numFmtId="0" fontId="0" fillId="0" borderId="3" xfId="0" applyBorder="1"/>
    <xf numFmtId="0" fontId="0" fillId="0" borderId="10" xfId="0" applyBorder="1" applyAlignment="1">
      <alignment horizontal="center" vertical="center"/>
    </xf>
    <xf numFmtId="0" fontId="12" fillId="0" borderId="0" xfId="0" applyFont="1" applyBorder="1"/>
    <xf numFmtId="0" fontId="12" fillId="0" borderId="0" xfId="0" applyFont="1" applyBorder="1" applyAlignment="1">
      <alignment horizontal="right"/>
    </xf>
    <xf numFmtId="44" fontId="12" fillId="0" borderId="7" xfId="2" applyFont="1" applyFill="1" applyBorder="1"/>
    <xf numFmtId="0" fontId="0" fillId="0" borderId="11" xfId="0" applyBorder="1" applyAlignment="1">
      <alignment horizontal="center" vertical="center"/>
    </xf>
    <xf numFmtId="0" fontId="12" fillId="0" borderId="12" xfId="0" applyFont="1" applyBorder="1"/>
    <xf numFmtId="0" fontId="12" fillId="0" borderId="12" xfId="0" applyFont="1" applyBorder="1" applyAlignment="1">
      <alignment horizontal="right"/>
    </xf>
    <xf numFmtId="44" fontId="12" fillId="0" borderId="12" xfId="2" applyFont="1" applyFill="1" applyBorder="1"/>
    <xf numFmtId="44" fontId="12" fillId="0" borderId="5" xfId="2" applyFont="1" applyFill="1" applyBorder="1"/>
    <xf numFmtId="44" fontId="15" fillId="0" borderId="48" xfId="2" applyFont="1" applyFill="1" applyBorder="1"/>
    <xf numFmtId="0" fontId="1" fillId="13" borderId="9" xfId="0" applyFont="1" applyFill="1" applyBorder="1" applyAlignment="1">
      <alignment vertical="top" wrapText="1"/>
    </xf>
    <xf numFmtId="0" fontId="1" fillId="13" borderId="0" xfId="0" applyFont="1" applyFill="1" applyAlignment="1">
      <alignment vertical="top"/>
    </xf>
    <xf numFmtId="0" fontId="1" fillId="10" borderId="9" xfId="0" applyFont="1" applyFill="1" applyBorder="1" applyAlignment="1">
      <alignment vertical="top" wrapText="1"/>
    </xf>
    <xf numFmtId="0" fontId="1" fillId="10" borderId="0" xfId="0" applyFont="1" applyFill="1" applyAlignment="1">
      <alignment vertical="top"/>
    </xf>
    <xf numFmtId="0" fontId="1" fillId="8" borderId="9" xfId="0" applyFont="1" applyFill="1" applyBorder="1" applyAlignment="1">
      <alignment vertical="top" wrapText="1"/>
    </xf>
    <xf numFmtId="0" fontId="1" fillId="8" borderId="0" xfId="0" applyFont="1" applyFill="1" applyAlignment="1">
      <alignment vertical="top"/>
    </xf>
    <xf numFmtId="0" fontId="1" fillId="7" borderId="9" xfId="0" applyFont="1" applyFill="1" applyBorder="1" applyAlignment="1">
      <alignment vertical="top" wrapText="1"/>
    </xf>
    <xf numFmtId="0" fontId="1" fillId="7" borderId="0" xfId="0" applyFont="1" applyFill="1" applyAlignment="1">
      <alignment vertical="top"/>
    </xf>
    <xf numFmtId="0" fontId="1" fillId="9" borderId="9" xfId="0" applyFont="1" applyFill="1" applyBorder="1" applyAlignment="1">
      <alignment vertical="top" wrapText="1"/>
    </xf>
    <xf numFmtId="0" fontId="1" fillId="9" borderId="0" xfId="0" applyFont="1" applyFill="1" applyAlignment="1">
      <alignment vertical="top"/>
    </xf>
    <xf numFmtId="0" fontId="1" fillId="3" borderId="9" xfId="0" applyFont="1" applyFill="1" applyBorder="1" applyAlignment="1">
      <alignment vertical="top" wrapText="1"/>
    </xf>
    <xf numFmtId="0" fontId="1" fillId="3" borderId="0" xfId="0" applyFont="1" applyFill="1" applyBorder="1" applyAlignment="1">
      <alignment vertical="top" wrapText="1"/>
    </xf>
    <xf numFmtId="1" fontId="7" fillId="3" borderId="0" xfId="2" applyNumberFormat="1" applyFont="1" applyFill="1" applyBorder="1" applyAlignment="1">
      <alignment horizontal="right"/>
    </xf>
    <xf numFmtId="0" fontId="12" fillId="23" borderId="1" xfId="0" applyFont="1" applyFill="1" applyBorder="1" applyAlignment="1">
      <alignment vertical="center"/>
    </xf>
    <xf numFmtId="167" fontId="12" fillId="23" borderId="1" xfId="1" applyNumberFormat="1" applyFont="1" applyFill="1" applyBorder="1"/>
    <xf numFmtId="0" fontId="0" fillId="0" borderId="0" xfId="0"/>
    <xf numFmtId="168" fontId="8" fillId="3" borderId="9" xfId="2" applyNumberFormat="1" applyFont="1" applyFill="1" applyBorder="1" applyAlignment="1"/>
    <xf numFmtId="168" fontId="8" fillId="0" borderId="0" xfId="3" applyNumberFormat="1" applyFont="1" applyFill="1" applyBorder="1" applyAlignment="1">
      <alignment horizontal="center"/>
    </xf>
    <xf numFmtId="10" fontId="7" fillId="0" borderId="20" xfId="10" applyNumberFormat="1" applyFont="1" applyBorder="1"/>
    <xf numFmtId="0" fontId="0" fillId="0" borderId="0" xfId="0" applyFont="1"/>
    <xf numFmtId="0" fontId="1" fillId="7" borderId="41" xfId="0" applyFont="1" applyFill="1" applyBorder="1" applyAlignment="1">
      <alignment horizontal="center" vertical="center" wrapText="1"/>
    </xf>
    <xf numFmtId="0" fontId="33" fillId="0" borderId="41" xfId="0" applyFont="1" applyBorder="1" applyAlignment="1">
      <alignment vertical="center" wrapText="1"/>
    </xf>
    <xf numFmtId="0" fontId="1" fillId="7" borderId="51" xfId="0" applyFont="1" applyFill="1" applyBorder="1" applyAlignment="1">
      <alignment horizontal="center" vertical="center" wrapText="1"/>
    </xf>
    <xf numFmtId="0" fontId="1" fillId="7" borderId="51" xfId="0" applyFont="1" applyFill="1" applyBorder="1" applyAlignment="1">
      <alignment horizontal="center" vertical="center"/>
    </xf>
    <xf numFmtId="168" fontId="33" fillId="0" borderId="41" xfId="2" applyNumberFormat="1" applyFont="1" applyBorder="1" applyAlignment="1">
      <alignment vertical="center" wrapText="1"/>
    </xf>
    <xf numFmtId="168" fontId="0" fillId="0" borderId="41" xfId="2" applyNumberFormat="1" applyFont="1" applyBorder="1"/>
    <xf numFmtId="0" fontId="33" fillId="0" borderId="0" xfId="0" applyFont="1" applyBorder="1" applyAlignment="1">
      <alignment vertical="center" wrapText="1"/>
    </xf>
    <xf numFmtId="168" fontId="33" fillId="0" borderId="0" xfId="2" applyNumberFormat="1" applyFont="1" applyBorder="1" applyAlignment="1">
      <alignment vertical="center" wrapText="1"/>
    </xf>
    <xf numFmtId="168" fontId="0" fillId="0" borderId="0" xfId="0" applyNumberFormat="1" applyFont="1"/>
    <xf numFmtId="168" fontId="0" fillId="0" borderId="41" xfId="0" applyNumberFormat="1" applyFont="1" applyBorder="1"/>
    <xf numFmtId="0" fontId="1" fillId="15" borderId="0" xfId="0" applyFont="1" applyFill="1" applyAlignment="1">
      <alignment horizontal="center"/>
    </xf>
    <xf numFmtId="168" fontId="1" fillId="15" borderId="0" xfId="2" applyNumberFormat="1" applyFont="1" applyFill="1" applyAlignment="1">
      <alignment horizontal="center"/>
    </xf>
    <xf numFmtId="168" fontId="0" fillId="15" borderId="41" xfId="2" applyNumberFormat="1" applyFont="1" applyFill="1" applyBorder="1"/>
    <xf numFmtId="44" fontId="0" fillId="0" borderId="0" xfId="0" applyNumberFormat="1" applyFont="1"/>
    <xf numFmtId="168" fontId="0" fillId="15" borderId="0" xfId="0" applyNumberFormat="1" applyFont="1" applyFill="1"/>
    <xf numFmtId="175" fontId="13" fillId="0" borderId="0" xfId="6" applyNumberFormat="1"/>
    <xf numFmtId="175" fontId="0" fillId="0" borderId="0" xfId="0" applyNumberFormat="1"/>
    <xf numFmtId="175" fontId="13" fillId="0" borderId="0" xfId="6" applyNumberFormat="1" applyFont="1" applyBorder="1" applyAlignment="1"/>
    <xf numFmtId="175" fontId="30" fillId="0" borderId="0" xfId="6" applyNumberFormat="1" applyFont="1"/>
    <xf numFmtId="175" fontId="12" fillId="0" borderId="0" xfId="2" applyNumberFormat="1" applyFont="1" applyFill="1" applyBorder="1"/>
    <xf numFmtId="175" fontId="15" fillId="0" borderId="0" xfId="2" applyNumberFormat="1" applyFont="1" applyFill="1" applyBorder="1"/>
    <xf numFmtId="175" fontId="13" fillId="0" borderId="41" xfId="6" applyNumberFormat="1" applyFont="1" applyBorder="1" applyAlignment="1">
      <alignment vertical="center" wrapText="1"/>
    </xf>
    <xf numFmtId="175" fontId="13" fillId="0" borderId="41" xfId="6" applyNumberFormat="1" applyFont="1" applyBorder="1"/>
    <xf numFmtId="175" fontId="13" fillId="0" borderId="41" xfId="6" applyNumberFormat="1" applyFont="1" applyBorder="1" applyAlignment="1">
      <alignment vertical="center"/>
    </xf>
    <xf numFmtId="175" fontId="13" fillId="0" borderId="0" xfId="6" applyNumberFormat="1" applyFont="1" applyAlignment="1">
      <alignment vertical="center"/>
    </xf>
    <xf numFmtId="175" fontId="13" fillId="0" borderId="0" xfId="6" applyNumberFormat="1" applyFont="1"/>
    <xf numFmtId="168" fontId="0" fillId="0" borderId="0" xfId="0" applyNumberFormat="1" applyAlignment="1">
      <alignment horizontal="center" vertical="center"/>
    </xf>
    <xf numFmtId="0" fontId="0" fillId="24" borderId="55" xfId="0" applyFill="1" applyBorder="1"/>
    <xf numFmtId="0" fontId="0" fillId="0" borderId="55" xfId="0" applyBorder="1"/>
    <xf numFmtId="0" fontId="0" fillId="24" borderId="0" xfId="0" applyFill="1"/>
    <xf numFmtId="17" fontId="0" fillId="0" borderId="0" xfId="0" applyNumberFormat="1" applyAlignment="1">
      <alignment textRotation="90"/>
    </xf>
    <xf numFmtId="17" fontId="0" fillId="0" borderId="55" xfId="0" applyNumberFormat="1" applyBorder="1" applyAlignment="1">
      <alignment textRotation="90"/>
    </xf>
    <xf numFmtId="0" fontId="0" fillId="3" borderId="9" xfId="0" applyFill="1" applyBorder="1" applyAlignment="1">
      <alignment horizontal="center"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0" fontId="0" fillId="9" borderId="9" xfId="0" applyFill="1" applyBorder="1" applyAlignment="1">
      <alignment horizontal="center" vertical="center"/>
    </xf>
    <xf numFmtId="0" fontId="0" fillId="9" borderId="0" xfId="0" applyFill="1" applyBorder="1" applyAlignment="1">
      <alignment horizontal="center" vertical="center"/>
    </xf>
    <xf numFmtId="0" fontId="0" fillId="9" borderId="12" xfId="0" applyFill="1" applyBorder="1" applyAlignment="1">
      <alignment horizontal="center" vertical="center"/>
    </xf>
    <xf numFmtId="0" fontId="0" fillId="7" borderId="9" xfId="0" applyFill="1" applyBorder="1" applyAlignment="1">
      <alignment horizontal="center" vertical="center"/>
    </xf>
    <xf numFmtId="0" fontId="0" fillId="7" borderId="0" xfId="0" applyFill="1" applyBorder="1" applyAlignment="1">
      <alignment horizontal="center" vertical="center"/>
    </xf>
    <xf numFmtId="0" fontId="0" fillId="10" borderId="9" xfId="0" applyFill="1" applyBorder="1" applyAlignment="1">
      <alignment horizontal="center" vertical="center"/>
    </xf>
    <xf numFmtId="0" fontId="0" fillId="10" borderId="0" xfId="0" applyFill="1" applyBorder="1" applyAlignment="1">
      <alignment horizontal="center" vertical="center"/>
    </xf>
    <xf numFmtId="0" fontId="0" fillId="10" borderId="42" xfId="0" applyFill="1" applyBorder="1" applyAlignment="1">
      <alignment horizontal="center" vertical="center"/>
    </xf>
    <xf numFmtId="0" fontId="0" fillId="8" borderId="9" xfId="0" applyFill="1" applyBorder="1" applyAlignment="1">
      <alignment horizontal="center" vertical="center"/>
    </xf>
    <xf numFmtId="0" fontId="0" fillId="8" borderId="0" xfId="0" applyFill="1" applyBorder="1" applyAlignment="1">
      <alignment horizontal="center" vertical="center"/>
    </xf>
    <xf numFmtId="0" fontId="0" fillId="10" borderId="12" xfId="0" applyFill="1" applyBorder="1" applyAlignment="1">
      <alignment horizontal="center" vertical="center"/>
    </xf>
    <xf numFmtId="0" fontId="0" fillId="8" borderId="42" xfId="0" applyFill="1" applyBorder="1" applyAlignment="1">
      <alignment horizontal="center" vertical="center"/>
    </xf>
    <xf numFmtId="0" fontId="0" fillId="9" borderId="9" xfId="0" applyFill="1" applyBorder="1" applyAlignment="1">
      <alignment horizontal="center" vertical="center" wrapText="1"/>
    </xf>
    <xf numFmtId="0" fontId="0" fillId="9" borderId="0" xfId="0" applyFill="1" applyBorder="1" applyAlignment="1">
      <alignment horizontal="center" vertical="center" wrapText="1"/>
    </xf>
    <xf numFmtId="0" fontId="0" fillId="9" borderId="42"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0" xfId="0" applyFill="1" applyBorder="1" applyAlignment="1">
      <alignment horizontal="center" vertical="center" wrapText="1"/>
    </xf>
    <xf numFmtId="0" fontId="0" fillId="3" borderId="42" xfId="0" applyFill="1" applyBorder="1" applyAlignment="1">
      <alignment horizontal="center" vertical="center" wrapText="1"/>
    </xf>
    <xf numFmtId="0" fontId="0" fillId="7" borderId="42" xfId="0" applyFill="1" applyBorder="1" applyAlignment="1">
      <alignment horizontal="center" vertical="center"/>
    </xf>
    <xf numFmtId="0" fontId="0" fillId="7" borderId="45" xfId="0" applyFill="1" applyBorder="1" applyAlignment="1">
      <alignment horizontal="center" vertical="center"/>
    </xf>
    <xf numFmtId="0" fontId="0" fillId="13" borderId="9" xfId="0" applyFill="1" applyBorder="1" applyAlignment="1">
      <alignment horizontal="center" vertical="center"/>
    </xf>
    <xf numFmtId="0" fontId="0" fillId="13" borderId="0" xfId="0" applyFill="1" applyBorder="1" applyAlignment="1">
      <alignment horizontal="center" vertical="center"/>
    </xf>
    <xf numFmtId="0" fontId="0" fillId="13" borderId="12" xfId="0" applyFill="1" applyBorder="1" applyAlignment="1">
      <alignment horizontal="center" vertical="center"/>
    </xf>
    <xf numFmtId="0" fontId="0" fillId="13" borderId="42" xfId="0" applyFill="1" applyBorder="1" applyAlignment="1">
      <alignment horizontal="center" vertical="center"/>
    </xf>
    <xf numFmtId="168" fontId="8" fillId="3" borderId="9" xfId="2" applyNumberFormat="1" applyFont="1" applyFill="1" applyBorder="1" applyAlignment="1"/>
    <xf numFmtId="0" fontId="1" fillId="7" borderId="49" xfId="0" applyFont="1" applyFill="1" applyBorder="1" applyAlignment="1">
      <alignment horizontal="center" vertical="center" wrapText="1"/>
    </xf>
    <xf numFmtId="0" fontId="1" fillId="7" borderId="51" xfId="0" applyFont="1" applyFill="1" applyBorder="1" applyAlignment="1">
      <alignment horizontal="center" vertical="center" wrapText="1"/>
    </xf>
    <xf numFmtId="0" fontId="1" fillId="18" borderId="0" xfId="0" applyFont="1" applyFill="1" applyAlignment="1">
      <alignment horizontal="left"/>
    </xf>
    <xf numFmtId="0" fontId="25" fillId="0" borderId="0" xfId="0" applyFont="1" applyFill="1" applyBorder="1" applyAlignment="1">
      <alignment horizontal="left" wrapText="1"/>
    </xf>
    <xf numFmtId="0" fontId="0" fillId="13" borderId="9" xfId="0" applyFill="1" applyBorder="1" applyAlignment="1">
      <alignment horizontal="center" vertical="center"/>
    </xf>
    <xf numFmtId="0" fontId="0" fillId="13" borderId="0" xfId="0" applyFill="1" applyBorder="1" applyAlignment="1">
      <alignment horizontal="center" vertical="center"/>
    </xf>
    <xf numFmtId="0" fontId="0" fillId="13" borderId="42" xfId="0" applyFill="1" applyBorder="1" applyAlignment="1">
      <alignment horizontal="center" vertical="center"/>
    </xf>
    <xf numFmtId="0" fontId="0" fillId="23" borderId="0" xfId="0" applyFill="1" applyBorder="1" applyAlignment="1">
      <alignment horizontal="center" vertical="center" wrapText="1"/>
    </xf>
    <xf numFmtId="0" fontId="0" fillId="23" borderId="12" xfId="0" applyFill="1" applyBorder="1" applyAlignment="1">
      <alignment horizontal="center" vertical="center" wrapText="1"/>
    </xf>
    <xf numFmtId="0" fontId="0" fillId="23" borderId="9" xfId="0" applyFill="1" applyBorder="1" applyAlignment="1">
      <alignment horizontal="center" vertical="center"/>
    </xf>
    <xf numFmtId="0" fontId="0" fillId="23" borderId="0" xfId="0" applyFill="1" applyBorder="1" applyAlignment="1">
      <alignment horizontal="center" vertical="center"/>
    </xf>
    <xf numFmtId="0" fontId="0" fillId="23" borderId="42" xfId="0" applyFill="1" applyBorder="1" applyAlignment="1">
      <alignment horizontal="center" vertical="center"/>
    </xf>
    <xf numFmtId="0" fontId="0" fillId="16" borderId="9" xfId="0" applyFill="1" applyBorder="1" applyAlignment="1">
      <alignment horizontal="center" vertical="center" wrapText="1"/>
    </xf>
    <xf numFmtId="0" fontId="0" fillId="16" borderId="0"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0" xfId="0" applyFill="1" applyBorder="1" applyAlignment="1">
      <alignment horizontal="center" vertical="center" wrapText="1"/>
    </xf>
    <xf numFmtId="0" fontId="0" fillId="3" borderId="42" xfId="0" applyFill="1" applyBorder="1" applyAlignment="1">
      <alignment horizontal="center" vertical="center" wrapText="1"/>
    </xf>
    <xf numFmtId="0" fontId="0" fillId="7" borderId="9" xfId="0" applyFill="1" applyBorder="1" applyAlignment="1">
      <alignment horizontal="center" vertical="center"/>
    </xf>
    <xf numFmtId="0" fontId="0" fillId="7" borderId="0" xfId="0" applyFill="1" applyBorder="1" applyAlignment="1">
      <alignment horizontal="center" vertical="center"/>
    </xf>
    <xf numFmtId="0" fontId="0" fillId="7" borderId="42" xfId="0" applyFill="1" applyBorder="1" applyAlignment="1">
      <alignment horizontal="center" vertical="center"/>
    </xf>
    <xf numFmtId="0" fontId="0" fillId="16" borderId="9" xfId="0" applyFill="1" applyBorder="1" applyAlignment="1">
      <alignment horizontal="center" vertical="center"/>
    </xf>
    <xf numFmtId="0" fontId="0" fillId="16" borderId="0" xfId="0" applyFill="1" applyBorder="1" applyAlignment="1">
      <alignment horizontal="center" vertical="center"/>
    </xf>
    <xf numFmtId="0" fontId="0" fillId="9" borderId="9" xfId="0" applyFill="1" applyBorder="1" applyAlignment="1">
      <alignment horizontal="center" vertical="center"/>
    </xf>
    <xf numFmtId="0" fontId="0" fillId="9" borderId="0" xfId="0" applyFill="1" applyBorder="1" applyAlignment="1">
      <alignment horizontal="center" vertical="center"/>
    </xf>
    <xf numFmtId="0" fontId="0" fillId="9" borderId="42" xfId="0" applyFill="1" applyBorder="1" applyAlignment="1">
      <alignment horizontal="center" vertical="center"/>
    </xf>
    <xf numFmtId="0" fontId="0" fillId="10" borderId="9" xfId="0" applyFill="1" applyBorder="1" applyAlignment="1">
      <alignment horizontal="center" vertical="center"/>
    </xf>
    <xf numFmtId="0" fontId="0" fillId="10" borderId="0" xfId="0" applyFill="1" applyBorder="1" applyAlignment="1">
      <alignment horizontal="center" vertical="center"/>
    </xf>
    <xf numFmtId="0" fontId="0" fillId="10" borderId="42" xfId="0" applyFill="1" applyBorder="1" applyAlignment="1">
      <alignment horizontal="center" vertical="center"/>
    </xf>
    <xf numFmtId="0" fontId="0" fillId="16" borderId="42" xfId="0" applyFill="1" applyBorder="1" applyAlignment="1">
      <alignment horizontal="center" vertical="center"/>
    </xf>
    <xf numFmtId="0" fontId="0" fillId="16" borderId="12" xfId="0" applyFill="1" applyBorder="1" applyAlignment="1">
      <alignment horizontal="center" vertical="center" wrapText="1"/>
    </xf>
    <xf numFmtId="0" fontId="0" fillId="8" borderId="9" xfId="0" applyFill="1" applyBorder="1" applyAlignment="1">
      <alignment horizontal="center" vertical="center"/>
    </xf>
    <xf numFmtId="0" fontId="0" fillId="8" borderId="0" xfId="0" applyFill="1" applyBorder="1" applyAlignment="1">
      <alignment horizontal="center" vertical="center"/>
    </xf>
    <xf numFmtId="0" fontId="0" fillId="8" borderId="42" xfId="0" applyFill="1" applyBorder="1" applyAlignment="1">
      <alignment horizontal="center" vertical="center"/>
    </xf>
    <xf numFmtId="0" fontId="0" fillId="16" borderId="45" xfId="0" applyFill="1" applyBorder="1" applyAlignment="1">
      <alignment horizontal="center" vertical="center"/>
    </xf>
    <xf numFmtId="168" fontId="8" fillId="3" borderId="9" xfId="2" applyNumberFormat="1" applyFont="1" applyFill="1" applyBorder="1" applyAlignment="1"/>
    <xf numFmtId="0" fontId="1" fillId="7" borderId="49" xfId="0" applyFont="1" applyFill="1" applyBorder="1" applyAlignment="1">
      <alignment horizontal="center" vertical="center" wrapText="1"/>
    </xf>
    <xf numFmtId="0" fontId="1" fillId="7" borderId="51" xfId="0" applyFont="1" applyFill="1" applyBorder="1" applyAlignment="1">
      <alignment horizontal="center" vertical="center" wrapText="1"/>
    </xf>
    <xf numFmtId="0" fontId="1" fillId="7" borderId="49" xfId="0" applyFont="1" applyFill="1" applyBorder="1" applyAlignment="1">
      <alignment horizontal="center" vertical="center"/>
    </xf>
    <xf numFmtId="0" fontId="1" fillId="7" borderId="51" xfId="0" applyFont="1" applyFill="1" applyBorder="1" applyAlignment="1">
      <alignment horizontal="center" vertical="center"/>
    </xf>
    <xf numFmtId="0" fontId="0" fillId="0" borderId="41" xfId="0" applyFont="1" applyBorder="1" applyAlignment="1">
      <alignment horizontal="center" vertical="center" wrapText="1"/>
    </xf>
    <xf numFmtId="0" fontId="1" fillId="0" borderId="41" xfId="0" applyFont="1" applyBorder="1" applyAlignment="1">
      <alignment horizontal="center"/>
    </xf>
    <xf numFmtId="0" fontId="1" fillId="8" borderId="0" xfId="0" applyFont="1" applyFill="1" applyAlignment="1">
      <alignment horizontal="center"/>
    </xf>
    <xf numFmtId="0" fontId="27" fillId="20" borderId="0" xfId="0" applyFont="1" applyFill="1" applyAlignment="1">
      <alignment horizontal="center" vertical="center" wrapText="1"/>
    </xf>
    <xf numFmtId="0" fontId="29" fillId="19" borderId="0" xfId="0" applyFont="1" applyFill="1" applyAlignment="1">
      <alignment horizontal="left" vertical="center"/>
    </xf>
    <xf numFmtId="0" fontId="24" fillId="19" borderId="0" xfId="0" applyFont="1" applyFill="1" applyAlignment="1">
      <alignment horizontal="left" vertical="center"/>
    </xf>
    <xf numFmtId="0" fontId="1" fillId="18"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wrapText="1"/>
    </xf>
    <xf numFmtId="0" fontId="25" fillId="0" borderId="0" xfId="0" applyFont="1" applyFill="1" applyAlignment="1">
      <alignment horizontal="left"/>
    </xf>
    <xf numFmtId="42" fontId="0" fillId="0" borderId="41" xfId="7" applyNumberFormat="1" applyFont="1" applyBorder="1" applyAlignment="1">
      <alignment horizontal="center" vertical="center"/>
    </xf>
    <xf numFmtId="42" fontId="0" fillId="0" borderId="49" xfId="7" applyNumberFormat="1" applyFont="1" applyBorder="1" applyAlignment="1">
      <alignment horizontal="center" vertical="center"/>
    </xf>
    <xf numFmtId="42" fontId="0" fillId="0" borderId="50" xfId="7" applyNumberFormat="1" applyFont="1" applyBorder="1" applyAlignment="1">
      <alignment horizontal="center" vertical="center"/>
    </xf>
    <xf numFmtId="42" fontId="0" fillId="0" borderId="51" xfId="7" applyNumberFormat="1" applyFont="1" applyBorder="1" applyAlignment="1">
      <alignment horizontal="center" vertical="center"/>
    </xf>
    <xf numFmtId="42" fontId="0" fillId="0" borderId="41" xfId="7" applyNumberFormat="1" applyFont="1" applyBorder="1" applyAlignment="1">
      <alignment horizontal="center" vertical="center" wrapText="1"/>
    </xf>
    <xf numFmtId="0" fontId="27" fillId="20" borderId="13" xfId="0" applyFont="1" applyFill="1" applyBorder="1" applyAlignment="1">
      <alignment horizontal="center" vertical="center" wrapText="1"/>
    </xf>
    <xf numFmtId="0" fontId="27" fillId="20" borderId="48" xfId="0" applyFont="1" applyFill="1" applyBorder="1" applyAlignment="1">
      <alignment horizontal="center" vertical="center" wrapText="1"/>
    </xf>
    <xf numFmtId="42" fontId="0" fillId="0" borderId="52" xfId="7" applyNumberFormat="1" applyFont="1" applyBorder="1" applyAlignment="1">
      <alignment horizontal="center" vertical="center" wrapText="1"/>
    </xf>
    <xf numFmtId="0" fontId="1" fillId="0" borderId="0" xfId="0" applyFont="1" applyFill="1" applyAlignment="1">
      <alignment horizontal="center"/>
    </xf>
    <xf numFmtId="0" fontId="25" fillId="0" borderId="1" xfId="0" applyFont="1" applyFill="1" applyBorder="1" applyAlignment="1">
      <alignment horizontal="left" wrapText="1"/>
    </xf>
    <xf numFmtId="0" fontId="1" fillId="18" borderId="0" xfId="6" applyFont="1" applyFill="1" applyAlignment="1">
      <alignment horizontal="left"/>
    </xf>
    <xf numFmtId="0" fontId="1" fillId="8" borderId="0" xfId="6" applyFont="1" applyFill="1" applyAlignment="1">
      <alignment horizontal="center"/>
    </xf>
    <xf numFmtId="0" fontId="29" fillId="19" borderId="0" xfId="6" applyFont="1" applyFill="1" applyAlignment="1">
      <alignment horizontal="left" vertical="center"/>
    </xf>
    <xf numFmtId="0" fontId="24" fillId="19" borderId="0" xfId="6" applyFont="1" applyFill="1" applyAlignment="1">
      <alignment horizontal="left" vertical="center"/>
    </xf>
    <xf numFmtId="0" fontId="25" fillId="0" borderId="0" xfId="6" applyFont="1" applyAlignment="1">
      <alignment horizontal="center"/>
    </xf>
    <xf numFmtId="0" fontId="26" fillId="0" borderId="0" xfId="6" applyFont="1" applyAlignment="1">
      <alignment horizontal="center" wrapText="1"/>
    </xf>
    <xf numFmtId="0" fontId="27" fillId="20" borderId="13" xfId="6" applyFont="1" applyFill="1" applyBorder="1" applyAlignment="1">
      <alignment horizontal="center" vertical="center" wrapText="1"/>
    </xf>
    <xf numFmtId="0" fontId="27" fillId="20" borderId="48" xfId="6" applyFont="1" applyFill="1" applyBorder="1" applyAlignment="1">
      <alignment horizontal="center" vertical="center" wrapText="1"/>
    </xf>
    <xf numFmtId="0" fontId="25" fillId="0" borderId="1" xfId="6" applyFont="1" applyBorder="1" applyAlignment="1">
      <alignment horizontal="left" wrapText="1"/>
    </xf>
    <xf numFmtId="0" fontId="25" fillId="0" borderId="0" xfId="6" applyFont="1" applyAlignment="1">
      <alignment horizontal="left" wrapText="1"/>
    </xf>
    <xf numFmtId="0" fontId="0" fillId="14" borderId="41" xfId="0" applyFill="1" applyBorder="1" applyAlignment="1">
      <alignment horizontal="center"/>
    </xf>
    <xf numFmtId="0" fontId="0" fillId="14" borderId="41" xfId="0" applyFill="1" applyBorder="1" applyAlignment="1">
      <alignment horizontal="center" wrapText="1"/>
    </xf>
    <xf numFmtId="0" fontId="0" fillId="13" borderId="41" xfId="0" applyFill="1" applyBorder="1" applyAlignment="1">
      <alignment horizontal="center" wrapText="1"/>
    </xf>
    <xf numFmtId="0" fontId="0" fillId="3" borderId="41" xfId="0" applyFill="1" applyBorder="1" applyAlignment="1">
      <alignment horizontal="center" wrapText="1"/>
    </xf>
    <xf numFmtId="0" fontId="0" fillId="0" borderId="31" xfId="0" applyFill="1" applyBorder="1" applyAlignment="1">
      <alignment horizontal="center" wrapText="1"/>
    </xf>
  </cellXfs>
  <cellStyles count="30">
    <cellStyle name="%" xfId="13" xr:uid="{00000000-0005-0000-0000-000000000000}"/>
    <cellStyle name="% 2" xfId="11" xr:uid="{00000000-0005-0000-0000-000001000000}"/>
    <cellStyle name="Comma" xfId="1" builtinId="3"/>
    <cellStyle name="Comma 2" xfId="5" xr:uid="{00000000-0005-0000-0000-000003000000}"/>
    <cellStyle name="Comma 2 2" xfId="15" xr:uid="{00000000-0005-0000-0000-000004000000}"/>
    <cellStyle name="Comma 3" xfId="16" xr:uid="{00000000-0005-0000-0000-000005000000}"/>
    <cellStyle name="Comma 3 2" xfId="26" xr:uid="{00000000-0005-0000-0000-000006000000}"/>
    <cellStyle name="Comma 4" xfId="25" xr:uid="{00000000-0005-0000-0000-000007000000}"/>
    <cellStyle name="Comma 5" xfId="14" xr:uid="{00000000-0005-0000-0000-000008000000}"/>
    <cellStyle name="Currency" xfId="2" builtinId="4"/>
    <cellStyle name="Currency 2" xfId="7" xr:uid="{00000000-0005-0000-0000-00000A000000}"/>
    <cellStyle name="Currency 2 2" xfId="28" xr:uid="{00000000-0005-0000-0000-00000B000000}"/>
    <cellStyle name="Currency 2 3" xfId="18" xr:uid="{00000000-0005-0000-0000-00000C000000}"/>
    <cellStyle name="Currency 3" xfId="27" xr:uid="{00000000-0005-0000-0000-00000D000000}"/>
    <cellStyle name="Currency 4" xfId="17" xr:uid="{00000000-0005-0000-0000-00000E000000}"/>
    <cellStyle name="Good" xfId="9" builtinId="26"/>
    <cellStyle name="Hyperlink 2" xfId="19" xr:uid="{00000000-0005-0000-0000-000010000000}"/>
    <cellStyle name="Normal" xfId="0" builtinId="0"/>
    <cellStyle name="Normal 2" xfId="6" xr:uid="{00000000-0005-0000-0000-000012000000}"/>
    <cellStyle name="Normal 2 2" xfId="20" xr:uid="{00000000-0005-0000-0000-000013000000}"/>
    <cellStyle name="Normal 3" xfId="3" xr:uid="{00000000-0005-0000-0000-000014000000}"/>
    <cellStyle name="Normal 3 2" xfId="21" xr:uid="{00000000-0005-0000-0000-000015000000}"/>
    <cellStyle name="Normal 4" xfId="4" xr:uid="{00000000-0005-0000-0000-000016000000}"/>
    <cellStyle name="Normal 4 2" xfId="22" xr:uid="{00000000-0005-0000-0000-000017000000}"/>
    <cellStyle name="Normal 5" xfId="12" xr:uid="{00000000-0005-0000-0000-000018000000}"/>
    <cellStyle name="Per cent" xfId="10" builtinId="5"/>
    <cellStyle name="Percent 2" xfId="8" xr:uid="{00000000-0005-0000-0000-00001A000000}"/>
    <cellStyle name="Percent 2 2" xfId="24" xr:uid="{00000000-0005-0000-0000-00001B000000}"/>
    <cellStyle name="Percent 3" xfId="29" xr:uid="{00000000-0005-0000-0000-00001C000000}"/>
    <cellStyle name="Percent 4" xfId="23" xr:uid="{00000000-0005-0000-0000-00001D000000}"/>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2"/>
          <c:order val="0"/>
          <c:xVal>
            <c:numRef>
              <c:f>'Short Rock Volumes'!$A$3:$A$53</c:f>
              <c:numCache>
                <c:formatCode>General</c:formatCode>
                <c:ptCount val="51"/>
                <c:pt idx="0">
                  <c:v>39.5</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64</c:v>
                </c:pt>
                <c:pt idx="26">
                  <c:v>65</c:v>
                </c:pt>
                <c:pt idx="27">
                  <c:v>66</c:v>
                </c:pt>
                <c:pt idx="28">
                  <c:v>67</c:v>
                </c:pt>
                <c:pt idx="29">
                  <c:v>68</c:v>
                </c:pt>
                <c:pt idx="30">
                  <c:v>69</c:v>
                </c:pt>
                <c:pt idx="31">
                  <c:v>70</c:v>
                </c:pt>
                <c:pt idx="32">
                  <c:v>71</c:v>
                </c:pt>
                <c:pt idx="33">
                  <c:v>72</c:v>
                </c:pt>
                <c:pt idx="34">
                  <c:v>73</c:v>
                </c:pt>
                <c:pt idx="35">
                  <c:v>74</c:v>
                </c:pt>
                <c:pt idx="36">
                  <c:v>75</c:v>
                </c:pt>
                <c:pt idx="37">
                  <c:v>76</c:v>
                </c:pt>
                <c:pt idx="38">
                  <c:v>77</c:v>
                </c:pt>
                <c:pt idx="39">
                  <c:v>78</c:v>
                </c:pt>
                <c:pt idx="40">
                  <c:v>79</c:v>
                </c:pt>
                <c:pt idx="41">
                  <c:v>80</c:v>
                </c:pt>
                <c:pt idx="42">
                  <c:v>81</c:v>
                </c:pt>
                <c:pt idx="43">
                  <c:v>82</c:v>
                </c:pt>
                <c:pt idx="44">
                  <c:v>83</c:v>
                </c:pt>
                <c:pt idx="45">
                  <c:v>84</c:v>
                </c:pt>
                <c:pt idx="46">
                  <c:v>85</c:v>
                </c:pt>
                <c:pt idx="47">
                  <c:v>86</c:v>
                </c:pt>
                <c:pt idx="48">
                  <c:v>87</c:v>
                </c:pt>
                <c:pt idx="49">
                  <c:v>88</c:v>
                </c:pt>
                <c:pt idx="50">
                  <c:v>89</c:v>
                </c:pt>
              </c:numCache>
            </c:numRef>
          </c:xVal>
          <c:yVal>
            <c:numRef>
              <c:f>'Short Rock Volumes'!$C$3:$C$53</c:f>
              <c:numCache>
                <c:formatCode>0.0000</c:formatCode>
                <c:ptCount val="51"/>
                <c:pt idx="0">
                  <c:v>4.5999999999999996</c:v>
                </c:pt>
                <c:pt idx="1">
                  <c:v>4.5999999999999996</c:v>
                </c:pt>
                <c:pt idx="2">
                  <c:v>4.5999999999999996</c:v>
                </c:pt>
                <c:pt idx="3">
                  <c:v>4.5999999999999996</c:v>
                </c:pt>
                <c:pt idx="4">
                  <c:v>4.5999999999999996</c:v>
                </c:pt>
                <c:pt idx="5">
                  <c:v>4.5999999999999996</c:v>
                </c:pt>
                <c:pt idx="6">
                  <c:v>4.5999999999999996</c:v>
                </c:pt>
                <c:pt idx="7">
                  <c:v>4.5999999999999996</c:v>
                </c:pt>
                <c:pt idx="8">
                  <c:v>4.5999999999999996</c:v>
                </c:pt>
                <c:pt idx="9">
                  <c:v>4.4722222222222214</c:v>
                </c:pt>
                <c:pt idx="10">
                  <c:v>4.3444444444444432</c:v>
                </c:pt>
                <c:pt idx="11">
                  <c:v>4.216666666666665</c:v>
                </c:pt>
                <c:pt idx="12">
                  <c:v>4.0888888888888868</c:v>
                </c:pt>
                <c:pt idx="13">
                  <c:v>3.961111111111109</c:v>
                </c:pt>
                <c:pt idx="14">
                  <c:v>3.8333333333333313</c:v>
                </c:pt>
                <c:pt idx="15">
                  <c:v>3.7055555555555535</c:v>
                </c:pt>
                <c:pt idx="16">
                  <c:v>3.5777777777777757</c:v>
                </c:pt>
                <c:pt idx="17">
                  <c:v>3.449999999999998</c:v>
                </c:pt>
                <c:pt idx="18">
                  <c:v>3.3222222222222202</c:v>
                </c:pt>
                <c:pt idx="19">
                  <c:v>3.1944444444444424</c:v>
                </c:pt>
                <c:pt idx="20">
                  <c:v>3.0666666666666647</c:v>
                </c:pt>
                <c:pt idx="21">
                  <c:v>2.9388888888888869</c:v>
                </c:pt>
                <c:pt idx="22">
                  <c:v>2.8111111111111091</c:v>
                </c:pt>
                <c:pt idx="23">
                  <c:v>2.6833333333333313</c:v>
                </c:pt>
                <c:pt idx="24">
                  <c:v>2.5555555555555536</c:v>
                </c:pt>
                <c:pt idx="25">
                  <c:v>2.4277777777777758</c:v>
                </c:pt>
                <c:pt idx="26">
                  <c:v>2.299999999999998</c:v>
                </c:pt>
                <c:pt idx="27">
                  <c:v>2.1722222222222203</c:v>
                </c:pt>
                <c:pt idx="28">
                  <c:v>2.0444444444444425</c:v>
                </c:pt>
                <c:pt idx="29">
                  <c:v>1.9166666666666647</c:v>
                </c:pt>
                <c:pt idx="30">
                  <c:v>1.788888888888887</c:v>
                </c:pt>
                <c:pt idx="31">
                  <c:v>1.6611111111111092</c:v>
                </c:pt>
                <c:pt idx="32">
                  <c:v>1.5333333333333314</c:v>
                </c:pt>
                <c:pt idx="33">
                  <c:v>1.4055555555555537</c:v>
                </c:pt>
                <c:pt idx="34">
                  <c:v>1.2777777777777759</c:v>
                </c:pt>
                <c:pt idx="35">
                  <c:v>1.1499999999999981</c:v>
                </c:pt>
                <c:pt idx="36">
                  <c:v>1.0222222222222204</c:v>
                </c:pt>
                <c:pt idx="37">
                  <c:v>0.8944444444444426</c:v>
                </c:pt>
                <c:pt idx="38">
                  <c:v>0.76666666666666483</c:v>
                </c:pt>
                <c:pt idx="39">
                  <c:v>0.63888888888888706</c:v>
                </c:pt>
                <c:pt idx="40">
                  <c:v>0.5111111111111093</c:v>
                </c:pt>
                <c:pt idx="41">
                  <c:v>0.38333333333333153</c:v>
                </c:pt>
                <c:pt idx="42">
                  <c:v>0.25555555555555376</c:v>
                </c:pt>
                <c:pt idx="43">
                  <c:v>0.12777777777777599</c:v>
                </c:pt>
                <c:pt idx="44">
                  <c:v>-1.7763568394002505E-15</c:v>
                </c:pt>
                <c:pt idx="45">
                  <c:v>0</c:v>
                </c:pt>
                <c:pt idx="46">
                  <c:v>-0.41820000000000002</c:v>
                </c:pt>
                <c:pt idx="47">
                  <c:v>-0.83640000000000003</c:v>
                </c:pt>
                <c:pt idx="48">
                  <c:v>-1.2545999999999999</c:v>
                </c:pt>
                <c:pt idx="49">
                  <c:v>-1.6728000000000001</c:v>
                </c:pt>
                <c:pt idx="50">
                  <c:v>-2.0910000000000002</c:v>
                </c:pt>
              </c:numCache>
            </c:numRef>
          </c:yVal>
          <c:smooth val="1"/>
          <c:extLst>
            <c:ext xmlns:c16="http://schemas.microsoft.com/office/drawing/2014/chart" uri="{C3380CC4-5D6E-409C-BE32-E72D297353CC}">
              <c16:uniqueId val="{00000000-47DE-4097-A5F3-95A9C86354FF}"/>
            </c:ext>
          </c:extLst>
        </c:ser>
        <c:ser>
          <c:idx val="0"/>
          <c:order val="1"/>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'Short Rock Volumes'!$A$2:$A$56</c:f>
              <c:numCache>
                <c:formatCode>General</c:formatCode>
                <c:ptCount val="55"/>
                <c:pt idx="0">
                  <c:v>39</c:v>
                </c:pt>
                <c:pt idx="1">
                  <c:v>39.5</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c:v>53</c:v>
                </c:pt>
                <c:pt idx="16">
                  <c:v>54</c:v>
                </c:pt>
                <c:pt idx="17">
                  <c:v>55</c:v>
                </c:pt>
                <c:pt idx="18">
                  <c:v>56</c:v>
                </c:pt>
                <c:pt idx="19">
                  <c:v>57</c:v>
                </c:pt>
                <c:pt idx="20">
                  <c:v>58</c:v>
                </c:pt>
                <c:pt idx="21">
                  <c:v>59</c:v>
                </c:pt>
                <c:pt idx="22">
                  <c:v>60</c:v>
                </c:pt>
                <c:pt idx="23">
                  <c:v>61</c:v>
                </c:pt>
                <c:pt idx="24">
                  <c:v>62</c:v>
                </c:pt>
                <c:pt idx="25">
                  <c:v>63</c:v>
                </c:pt>
                <c:pt idx="26">
                  <c:v>64</c:v>
                </c:pt>
                <c:pt idx="27">
                  <c:v>65</c:v>
                </c:pt>
                <c:pt idx="28">
                  <c:v>66</c:v>
                </c:pt>
                <c:pt idx="29">
                  <c:v>67</c:v>
                </c:pt>
                <c:pt idx="30">
                  <c:v>68</c:v>
                </c:pt>
                <c:pt idx="31">
                  <c:v>69</c:v>
                </c:pt>
                <c:pt idx="32">
                  <c:v>70</c:v>
                </c:pt>
                <c:pt idx="33">
                  <c:v>71</c:v>
                </c:pt>
                <c:pt idx="34">
                  <c:v>72</c:v>
                </c:pt>
                <c:pt idx="35">
                  <c:v>73</c:v>
                </c:pt>
                <c:pt idx="36">
                  <c:v>74</c:v>
                </c:pt>
                <c:pt idx="37">
                  <c:v>75</c:v>
                </c:pt>
                <c:pt idx="38">
                  <c:v>76</c:v>
                </c:pt>
                <c:pt idx="39">
                  <c:v>77</c:v>
                </c:pt>
                <c:pt idx="40">
                  <c:v>78</c:v>
                </c:pt>
                <c:pt idx="41">
                  <c:v>79</c:v>
                </c:pt>
                <c:pt idx="42">
                  <c:v>80</c:v>
                </c:pt>
                <c:pt idx="43">
                  <c:v>81</c:v>
                </c:pt>
                <c:pt idx="44">
                  <c:v>82</c:v>
                </c:pt>
                <c:pt idx="45">
                  <c:v>83</c:v>
                </c:pt>
                <c:pt idx="46">
                  <c:v>84</c:v>
                </c:pt>
                <c:pt idx="47">
                  <c:v>85</c:v>
                </c:pt>
                <c:pt idx="48">
                  <c:v>86</c:v>
                </c:pt>
                <c:pt idx="49">
                  <c:v>87</c:v>
                </c:pt>
                <c:pt idx="50">
                  <c:v>88</c:v>
                </c:pt>
                <c:pt idx="51">
                  <c:v>89</c:v>
                </c:pt>
                <c:pt idx="52">
                  <c:v>90</c:v>
                </c:pt>
                <c:pt idx="53">
                  <c:v>91</c:v>
                </c:pt>
                <c:pt idx="54">
                  <c:v>92</c:v>
                </c:pt>
              </c:numCache>
            </c:numRef>
          </c:xVal>
          <c:yVal>
            <c:numRef>
              <c:f>'Short Rock Volumes'!$B$2:$B$56</c:f>
              <c:numCache>
                <c:formatCode>General</c:formatCode>
                <c:ptCount val="55"/>
                <c:pt idx="0">
                  <c:v>3.1880000000000002</c:v>
                </c:pt>
                <c:pt idx="1">
                  <c:v>2.786</c:v>
                </c:pt>
                <c:pt idx="2">
                  <c:v>2.4529999999999998</c:v>
                </c:pt>
                <c:pt idx="3">
                  <c:v>1.9590000000000001</c:v>
                </c:pt>
                <c:pt idx="4">
                  <c:v>1.585</c:v>
                </c:pt>
                <c:pt idx="5">
                  <c:v>1.3680000000000001</c:v>
                </c:pt>
                <c:pt idx="6">
                  <c:v>1.2030000000000001</c:v>
                </c:pt>
                <c:pt idx="7">
                  <c:v>1.0609999999999999</c:v>
                </c:pt>
                <c:pt idx="8">
                  <c:v>0.91800000000000004</c:v>
                </c:pt>
                <c:pt idx="9">
                  <c:v>0.78500000000000003</c:v>
                </c:pt>
                <c:pt idx="10">
                  <c:v>0.64300000000000002</c:v>
                </c:pt>
                <c:pt idx="11">
                  <c:v>0.51600000000000001</c:v>
                </c:pt>
                <c:pt idx="12">
                  <c:v>0.39800000000000002</c:v>
                </c:pt>
                <c:pt idx="13">
                  <c:v>0.25700000000000001</c:v>
                </c:pt>
                <c:pt idx="14">
                  <c:v>0.128</c:v>
                </c:pt>
                <c:pt idx="15">
                  <c:v>2.3E-2</c:v>
                </c:pt>
                <c:pt idx="16">
                  <c:v>-8.5999999999999993E-2</c:v>
                </c:pt>
                <c:pt idx="17">
                  <c:v>-0.20499999999999999</c:v>
                </c:pt>
                <c:pt idx="18">
                  <c:v>-0.32500000000000001</c:v>
                </c:pt>
                <c:pt idx="19">
                  <c:v>-0.436</c:v>
                </c:pt>
                <c:pt idx="20">
                  <c:v>-0.57399999999999995</c:v>
                </c:pt>
                <c:pt idx="21">
                  <c:v>-0.70799999999999996</c:v>
                </c:pt>
                <c:pt idx="22">
                  <c:v>-0.82199999999999995</c:v>
                </c:pt>
                <c:pt idx="23">
                  <c:v>-0.93500000000000005</c:v>
                </c:pt>
                <c:pt idx="24">
                  <c:v>-1.052</c:v>
                </c:pt>
                <c:pt idx="25">
                  <c:v>-1.1279999999999999</c:v>
                </c:pt>
                <c:pt idx="26">
                  <c:v>-1.2829999999999999</c:v>
                </c:pt>
                <c:pt idx="27">
                  <c:v>-1.3859999999999999</c:v>
                </c:pt>
                <c:pt idx="28">
                  <c:v>-1.427</c:v>
                </c:pt>
                <c:pt idx="29">
                  <c:v>-1.4119999999999999</c:v>
                </c:pt>
                <c:pt idx="30">
                  <c:v>-1.421</c:v>
                </c:pt>
                <c:pt idx="31">
                  <c:v>-1.4419999999999999</c:v>
                </c:pt>
                <c:pt idx="32">
                  <c:v>-1.456</c:v>
                </c:pt>
                <c:pt idx="33">
                  <c:v>-1.5</c:v>
                </c:pt>
                <c:pt idx="34">
                  <c:v>-1.5089999999999999</c:v>
                </c:pt>
                <c:pt idx="35">
                  <c:v>-1.56</c:v>
                </c:pt>
                <c:pt idx="36">
                  <c:v>-1.5740000000000001</c:v>
                </c:pt>
                <c:pt idx="37">
                  <c:v>-1.5860000000000001</c:v>
                </c:pt>
                <c:pt idx="38">
                  <c:v>-1.639</c:v>
                </c:pt>
                <c:pt idx="39">
                  <c:v>-1.665</c:v>
                </c:pt>
                <c:pt idx="40">
                  <c:v>-1.6859999999999999</c:v>
                </c:pt>
                <c:pt idx="41">
                  <c:v>-1.718</c:v>
                </c:pt>
                <c:pt idx="42">
                  <c:v>-1.746</c:v>
                </c:pt>
                <c:pt idx="43">
                  <c:v>-1.7749999999999999</c:v>
                </c:pt>
                <c:pt idx="44">
                  <c:v>-1.8180000000000001</c:v>
                </c:pt>
                <c:pt idx="45">
                  <c:v>-1.86</c:v>
                </c:pt>
                <c:pt idx="46">
                  <c:v>-1.869</c:v>
                </c:pt>
                <c:pt idx="47">
                  <c:v>-1.8839999999999999</c:v>
                </c:pt>
                <c:pt idx="48">
                  <c:v>-1.897</c:v>
                </c:pt>
                <c:pt idx="49">
                  <c:v>-1.9159999999999999</c:v>
                </c:pt>
                <c:pt idx="50">
                  <c:v>-1.956</c:v>
                </c:pt>
                <c:pt idx="51">
                  <c:v>-1.958</c:v>
                </c:pt>
                <c:pt idx="52">
                  <c:v>-1.99</c:v>
                </c:pt>
                <c:pt idx="53">
                  <c:v>-2.0249999999999999</c:v>
                </c:pt>
                <c:pt idx="54">
                  <c:v>-2.048</c:v>
                </c:pt>
              </c:numCache>
            </c:numRef>
          </c:yVal>
          <c:smooth val="1"/>
          <c:extLst>
            <c:ext xmlns:c16="http://schemas.microsoft.com/office/drawing/2014/chart" uri="{C3380CC4-5D6E-409C-BE32-E72D297353CC}">
              <c16:uniqueId val="{00000001-47DE-4097-A5F3-95A9C86354FF}"/>
            </c:ext>
          </c:extLst>
        </c:ser>
        <c:dLbls>
          <c:showLegendKey val="0"/>
          <c:showVal val="0"/>
          <c:showCatName val="0"/>
          <c:showSerName val="0"/>
          <c:showPercent val="0"/>
          <c:showBubbleSize val="0"/>
        </c:dLbls>
        <c:axId val="168207104"/>
        <c:axId val="168209024"/>
      </c:scatterChart>
      <c:valAx>
        <c:axId val="168207104"/>
        <c:scaling>
          <c:orientation val="minMax"/>
          <c:min val="3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09024"/>
        <c:crosses val="autoZero"/>
        <c:crossBetween val="midCat"/>
      </c:valAx>
      <c:valAx>
        <c:axId val="168209024"/>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207104"/>
        <c:crosses val="autoZero"/>
        <c:crossBetween val="midCat"/>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2"/>
          <c:order val="0"/>
          <c:xVal>
            <c:numRef>
              <c:f>'Long Rock Volumes'!$A$3:$A$99</c:f>
              <c:numCache>
                <c:formatCode>General</c:formatCode>
                <c:ptCount val="97"/>
                <c:pt idx="0">
                  <c:v>39.5</c:v>
                </c:pt>
                <c:pt idx="1">
                  <c:v>40</c:v>
                </c:pt>
                <c:pt idx="2">
                  <c:v>41</c:v>
                </c:pt>
                <c:pt idx="3">
                  <c:v>42</c:v>
                </c:pt>
                <c:pt idx="4">
                  <c:v>43</c:v>
                </c:pt>
                <c:pt idx="5">
                  <c:v>44</c:v>
                </c:pt>
                <c:pt idx="6">
                  <c:v>45</c:v>
                </c:pt>
                <c:pt idx="7">
                  <c:v>46</c:v>
                </c:pt>
                <c:pt idx="8">
                  <c:v>47</c:v>
                </c:pt>
                <c:pt idx="9">
                  <c:v>48</c:v>
                </c:pt>
                <c:pt idx="10">
                  <c:v>49</c:v>
                </c:pt>
                <c:pt idx="11">
                  <c:v>50</c:v>
                </c:pt>
                <c:pt idx="12">
                  <c:v>51</c:v>
                </c:pt>
                <c:pt idx="13">
                  <c:v>52</c:v>
                </c:pt>
                <c:pt idx="14">
                  <c:v>53</c:v>
                </c:pt>
                <c:pt idx="15">
                  <c:v>54</c:v>
                </c:pt>
                <c:pt idx="16">
                  <c:v>55</c:v>
                </c:pt>
                <c:pt idx="17">
                  <c:v>56</c:v>
                </c:pt>
                <c:pt idx="18">
                  <c:v>57</c:v>
                </c:pt>
                <c:pt idx="19">
                  <c:v>58</c:v>
                </c:pt>
                <c:pt idx="20">
                  <c:v>59</c:v>
                </c:pt>
                <c:pt idx="21">
                  <c:v>60</c:v>
                </c:pt>
                <c:pt idx="22">
                  <c:v>61</c:v>
                </c:pt>
                <c:pt idx="23">
                  <c:v>62</c:v>
                </c:pt>
                <c:pt idx="24">
                  <c:v>63</c:v>
                </c:pt>
                <c:pt idx="25">
                  <c:v>64</c:v>
                </c:pt>
                <c:pt idx="26">
                  <c:v>65</c:v>
                </c:pt>
                <c:pt idx="27">
                  <c:v>66</c:v>
                </c:pt>
                <c:pt idx="28">
                  <c:v>67</c:v>
                </c:pt>
                <c:pt idx="29">
                  <c:v>68</c:v>
                </c:pt>
                <c:pt idx="30">
                  <c:v>69</c:v>
                </c:pt>
                <c:pt idx="31">
                  <c:v>70</c:v>
                </c:pt>
                <c:pt idx="32">
                  <c:v>71</c:v>
                </c:pt>
                <c:pt idx="33">
                  <c:v>72</c:v>
                </c:pt>
                <c:pt idx="34">
                  <c:v>73</c:v>
                </c:pt>
                <c:pt idx="35">
                  <c:v>74</c:v>
                </c:pt>
                <c:pt idx="36">
                  <c:v>75</c:v>
                </c:pt>
                <c:pt idx="37">
                  <c:v>76</c:v>
                </c:pt>
                <c:pt idx="38">
                  <c:v>77</c:v>
                </c:pt>
                <c:pt idx="39">
                  <c:v>78</c:v>
                </c:pt>
                <c:pt idx="40">
                  <c:v>79</c:v>
                </c:pt>
                <c:pt idx="41">
                  <c:v>80</c:v>
                </c:pt>
                <c:pt idx="42">
                  <c:v>81</c:v>
                </c:pt>
                <c:pt idx="43">
                  <c:v>82</c:v>
                </c:pt>
                <c:pt idx="44">
                  <c:v>83</c:v>
                </c:pt>
                <c:pt idx="45">
                  <c:v>84</c:v>
                </c:pt>
                <c:pt idx="46">
                  <c:v>85</c:v>
                </c:pt>
                <c:pt idx="47">
                  <c:v>86</c:v>
                </c:pt>
                <c:pt idx="48">
                  <c:v>87</c:v>
                </c:pt>
                <c:pt idx="49">
                  <c:v>88</c:v>
                </c:pt>
                <c:pt idx="50">
                  <c:v>89</c:v>
                </c:pt>
                <c:pt idx="51">
                  <c:v>90</c:v>
                </c:pt>
                <c:pt idx="52">
                  <c:v>91</c:v>
                </c:pt>
                <c:pt idx="53">
                  <c:v>92</c:v>
                </c:pt>
                <c:pt idx="54">
                  <c:v>93</c:v>
                </c:pt>
                <c:pt idx="55">
                  <c:v>94</c:v>
                </c:pt>
                <c:pt idx="56">
                  <c:v>95</c:v>
                </c:pt>
                <c:pt idx="57">
                  <c:v>96</c:v>
                </c:pt>
                <c:pt idx="58">
                  <c:v>97</c:v>
                </c:pt>
                <c:pt idx="59">
                  <c:v>98</c:v>
                </c:pt>
                <c:pt idx="60">
                  <c:v>99</c:v>
                </c:pt>
                <c:pt idx="61">
                  <c:v>100</c:v>
                </c:pt>
                <c:pt idx="62">
                  <c:v>101</c:v>
                </c:pt>
                <c:pt idx="63">
                  <c:v>102</c:v>
                </c:pt>
                <c:pt idx="64">
                  <c:v>103</c:v>
                </c:pt>
                <c:pt idx="65">
                  <c:v>104</c:v>
                </c:pt>
                <c:pt idx="66">
                  <c:v>105</c:v>
                </c:pt>
                <c:pt idx="67">
                  <c:v>106</c:v>
                </c:pt>
                <c:pt idx="68">
                  <c:v>107</c:v>
                </c:pt>
                <c:pt idx="69">
                  <c:v>108</c:v>
                </c:pt>
                <c:pt idx="70">
                  <c:v>109</c:v>
                </c:pt>
                <c:pt idx="71">
                  <c:v>110</c:v>
                </c:pt>
                <c:pt idx="72">
                  <c:v>111</c:v>
                </c:pt>
                <c:pt idx="73">
                  <c:v>112</c:v>
                </c:pt>
                <c:pt idx="74">
                  <c:v>113</c:v>
                </c:pt>
                <c:pt idx="75">
                  <c:v>114</c:v>
                </c:pt>
                <c:pt idx="76">
                  <c:v>115</c:v>
                </c:pt>
                <c:pt idx="77">
                  <c:v>116</c:v>
                </c:pt>
                <c:pt idx="78">
                  <c:v>117</c:v>
                </c:pt>
                <c:pt idx="79">
                  <c:v>118</c:v>
                </c:pt>
                <c:pt idx="80">
                  <c:v>119</c:v>
                </c:pt>
                <c:pt idx="81">
                  <c:v>120</c:v>
                </c:pt>
                <c:pt idx="82">
                  <c:v>121</c:v>
                </c:pt>
                <c:pt idx="83">
                  <c:v>122</c:v>
                </c:pt>
                <c:pt idx="84">
                  <c:v>123</c:v>
                </c:pt>
                <c:pt idx="85">
                  <c:v>124</c:v>
                </c:pt>
                <c:pt idx="86">
                  <c:v>125</c:v>
                </c:pt>
                <c:pt idx="87">
                  <c:v>126</c:v>
                </c:pt>
                <c:pt idx="88">
                  <c:v>127</c:v>
                </c:pt>
                <c:pt idx="89">
                  <c:v>128</c:v>
                </c:pt>
                <c:pt idx="90">
                  <c:v>129</c:v>
                </c:pt>
                <c:pt idx="91">
                  <c:v>130</c:v>
                </c:pt>
                <c:pt idx="92">
                  <c:v>131</c:v>
                </c:pt>
                <c:pt idx="93">
                  <c:v>132</c:v>
                </c:pt>
                <c:pt idx="94">
                  <c:v>133</c:v>
                </c:pt>
                <c:pt idx="95">
                  <c:v>134</c:v>
                </c:pt>
                <c:pt idx="96">
                  <c:v>135</c:v>
                </c:pt>
              </c:numCache>
            </c:numRef>
          </c:xVal>
          <c:yVal>
            <c:numRef>
              <c:f>'Long Rock Volumes'!$C$3:$C$99</c:f>
              <c:numCache>
                <c:formatCode>General</c:formatCode>
                <c:ptCount val="97"/>
                <c:pt idx="0">
                  <c:v>2.786</c:v>
                </c:pt>
                <c:pt idx="1">
                  <c:v>3.01</c:v>
                </c:pt>
                <c:pt idx="2">
                  <c:v>3.24</c:v>
                </c:pt>
                <c:pt idx="3">
                  <c:v>3.47</c:v>
                </c:pt>
                <c:pt idx="4">
                  <c:v>3.7</c:v>
                </c:pt>
                <c:pt idx="5">
                  <c:v>3.93</c:v>
                </c:pt>
                <c:pt idx="6">
                  <c:v>4.1500000000000004</c:v>
                </c:pt>
                <c:pt idx="7">
                  <c:v>4.38</c:v>
                </c:pt>
                <c:pt idx="8">
                  <c:v>4.5999999999999996</c:v>
                </c:pt>
                <c:pt idx="9">
                  <c:v>4.5999999999999996</c:v>
                </c:pt>
                <c:pt idx="10">
                  <c:v>4.5999999999999996</c:v>
                </c:pt>
                <c:pt idx="11">
                  <c:v>4.5999999999999996</c:v>
                </c:pt>
                <c:pt idx="12">
                  <c:v>4.5999999999999996</c:v>
                </c:pt>
                <c:pt idx="13">
                  <c:v>4.5999999999999996</c:v>
                </c:pt>
                <c:pt idx="14">
                  <c:v>4.5999999999999996</c:v>
                </c:pt>
                <c:pt idx="15">
                  <c:v>4.5999999999999996</c:v>
                </c:pt>
                <c:pt idx="16">
                  <c:v>4.5999999999999996</c:v>
                </c:pt>
                <c:pt idx="17">
                  <c:v>4.5999999999999996</c:v>
                </c:pt>
                <c:pt idx="18">
                  <c:v>4.5999999999999996</c:v>
                </c:pt>
                <c:pt idx="19">
                  <c:v>4.5999999999999996</c:v>
                </c:pt>
                <c:pt idx="20">
                  <c:v>4.5999999999999996</c:v>
                </c:pt>
                <c:pt idx="21">
                  <c:v>4.5999999999999996</c:v>
                </c:pt>
                <c:pt idx="22">
                  <c:v>4.5999999999999996</c:v>
                </c:pt>
                <c:pt idx="23">
                  <c:v>4.5999999999999996</c:v>
                </c:pt>
                <c:pt idx="24">
                  <c:v>4.5999999999999996</c:v>
                </c:pt>
                <c:pt idx="25">
                  <c:v>4.5999999999999996</c:v>
                </c:pt>
                <c:pt idx="26">
                  <c:v>4.5999999999999996</c:v>
                </c:pt>
                <c:pt idx="27">
                  <c:v>4.5999999999999996</c:v>
                </c:pt>
                <c:pt idx="28">
                  <c:v>4.5999999999999996</c:v>
                </c:pt>
                <c:pt idx="29">
                  <c:v>4.5999999999999996</c:v>
                </c:pt>
                <c:pt idx="30">
                  <c:v>4.5999999999999996</c:v>
                </c:pt>
                <c:pt idx="31">
                  <c:v>4.5999999999999996</c:v>
                </c:pt>
                <c:pt idx="32">
                  <c:v>4.5999999999999996</c:v>
                </c:pt>
                <c:pt idx="33">
                  <c:v>4.5999999999999996</c:v>
                </c:pt>
                <c:pt idx="34">
                  <c:v>4.5999999999999996</c:v>
                </c:pt>
                <c:pt idx="35">
                  <c:v>4.5999999999999996</c:v>
                </c:pt>
                <c:pt idx="36">
                  <c:v>4.5999999999999996</c:v>
                </c:pt>
                <c:pt idx="37">
                  <c:v>4.5999999999999996</c:v>
                </c:pt>
                <c:pt idx="38">
                  <c:v>4.5999999999999996</c:v>
                </c:pt>
                <c:pt idx="39">
                  <c:v>4.5999999999999996</c:v>
                </c:pt>
                <c:pt idx="40">
                  <c:v>4.5999999999999996</c:v>
                </c:pt>
                <c:pt idx="41" formatCode="0.000">
                  <c:v>4.4722222222222214</c:v>
                </c:pt>
                <c:pt idx="42" formatCode="0.000">
                  <c:v>4.3444444444444432</c:v>
                </c:pt>
                <c:pt idx="43" formatCode="0.000">
                  <c:v>4.216666666666665</c:v>
                </c:pt>
                <c:pt idx="44" formatCode="0.000">
                  <c:v>4.0888888888888868</c:v>
                </c:pt>
                <c:pt idx="45" formatCode="0.000">
                  <c:v>3.961111111111109</c:v>
                </c:pt>
                <c:pt idx="46" formatCode="0.000">
                  <c:v>3.8333333333333313</c:v>
                </c:pt>
                <c:pt idx="47" formatCode="0.000">
                  <c:v>3.7055555555555535</c:v>
                </c:pt>
                <c:pt idx="48" formatCode="0.000">
                  <c:v>3.5777777777777757</c:v>
                </c:pt>
                <c:pt idx="49" formatCode="0.000">
                  <c:v>3.449999999999998</c:v>
                </c:pt>
                <c:pt idx="50" formatCode="0.000">
                  <c:v>3.3222222222222202</c:v>
                </c:pt>
                <c:pt idx="51" formatCode="0.000">
                  <c:v>3.1944444444444424</c:v>
                </c:pt>
                <c:pt idx="52" formatCode="0.000">
                  <c:v>3.0666666666666647</c:v>
                </c:pt>
                <c:pt idx="53" formatCode="0.000">
                  <c:v>2.9388888888888869</c:v>
                </c:pt>
                <c:pt idx="54" formatCode="0.000">
                  <c:v>2.8111111111111091</c:v>
                </c:pt>
                <c:pt idx="55" formatCode="0.000">
                  <c:v>2.6833333333333313</c:v>
                </c:pt>
                <c:pt idx="56" formatCode="0.000">
                  <c:v>2.5555555555555536</c:v>
                </c:pt>
                <c:pt idx="57" formatCode="0.000">
                  <c:v>2.4277777777777758</c:v>
                </c:pt>
                <c:pt idx="58" formatCode="0.000">
                  <c:v>2.299999999999998</c:v>
                </c:pt>
                <c:pt idx="59" formatCode="0.000">
                  <c:v>2.1722222222222203</c:v>
                </c:pt>
                <c:pt idx="60" formatCode="0.000">
                  <c:v>2.0444444444444425</c:v>
                </c:pt>
                <c:pt idx="61" formatCode="0.000">
                  <c:v>1.9166666666666647</c:v>
                </c:pt>
                <c:pt idx="62" formatCode="0.000">
                  <c:v>1.788888888888887</c:v>
                </c:pt>
                <c:pt idx="63" formatCode="0.000">
                  <c:v>1.6611111111111092</c:v>
                </c:pt>
                <c:pt idx="64" formatCode="0.000">
                  <c:v>1.5333333333333314</c:v>
                </c:pt>
                <c:pt idx="65" formatCode="0.000">
                  <c:v>1.4055555555555537</c:v>
                </c:pt>
                <c:pt idx="66" formatCode="0.000">
                  <c:v>1.2777777777777759</c:v>
                </c:pt>
                <c:pt idx="67" formatCode="0.000">
                  <c:v>1.1499999999999981</c:v>
                </c:pt>
                <c:pt idx="68" formatCode="0.000">
                  <c:v>1.0222222222222204</c:v>
                </c:pt>
                <c:pt idx="69" formatCode="0.000">
                  <c:v>0.8944444444444426</c:v>
                </c:pt>
                <c:pt idx="70" formatCode="0.000">
                  <c:v>0.76666666666666483</c:v>
                </c:pt>
                <c:pt idx="71" formatCode="0.000">
                  <c:v>0.63888888888888706</c:v>
                </c:pt>
                <c:pt idx="72" formatCode="0.000">
                  <c:v>0.5111111111111093</c:v>
                </c:pt>
                <c:pt idx="73" formatCode="0.000">
                  <c:v>0.38333333333333153</c:v>
                </c:pt>
                <c:pt idx="74" formatCode="0.000">
                  <c:v>0.25555555555555376</c:v>
                </c:pt>
                <c:pt idx="75" formatCode="0.000">
                  <c:v>0.12777777777777599</c:v>
                </c:pt>
                <c:pt idx="76" formatCode="0.000">
                  <c:v>-1.7763568394002505E-15</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-0.41820000000000002</c:v>
                </c:pt>
                <c:pt idx="93">
                  <c:v>-0.83640000000000003</c:v>
                </c:pt>
                <c:pt idx="94">
                  <c:v>-1.2545999999999999</c:v>
                </c:pt>
                <c:pt idx="95">
                  <c:v>-1.6728000000000001</c:v>
                </c:pt>
                <c:pt idx="96">
                  <c:v>-2.0910000000000002</c:v>
                </c:pt>
              </c:numCache>
            </c:numRef>
          </c:yVal>
          <c:smooth val="1"/>
          <c:extLst>
            <c:ext xmlns:c16="http://schemas.microsoft.com/office/drawing/2014/chart" uri="{C3380CC4-5D6E-409C-BE32-E72D297353CC}">
              <c16:uniqueId val="{00000000-422F-41F0-8BBD-989A8950F04A}"/>
            </c:ext>
          </c:extLst>
        </c:ser>
        <c:ser>
          <c:idx val="0"/>
          <c:order val="1"/>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'Long Rock Volumes'!$A$2:$A$100</c:f>
              <c:numCache>
                <c:formatCode>General</c:formatCode>
                <c:ptCount val="99"/>
                <c:pt idx="0">
                  <c:v>39</c:v>
                </c:pt>
                <c:pt idx="1">
                  <c:v>39.5</c:v>
                </c:pt>
                <c:pt idx="2">
                  <c:v>40</c:v>
                </c:pt>
                <c:pt idx="3">
                  <c:v>41</c:v>
                </c:pt>
                <c:pt idx="4">
                  <c:v>42</c:v>
                </c:pt>
                <c:pt idx="5">
                  <c:v>43</c:v>
                </c:pt>
                <c:pt idx="6">
                  <c:v>44</c:v>
                </c:pt>
                <c:pt idx="7">
                  <c:v>45</c:v>
                </c:pt>
                <c:pt idx="8">
                  <c:v>46</c:v>
                </c:pt>
                <c:pt idx="9">
                  <c:v>47</c:v>
                </c:pt>
                <c:pt idx="10">
                  <c:v>48</c:v>
                </c:pt>
                <c:pt idx="11">
                  <c:v>49</c:v>
                </c:pt>
                <c:pt idx="12">
                  <c:v>50</c:v>
                </c:pt>
                <c:pt idx="13">
                  <c:v>51</c:v>
                </c:pt>
                <c:pt idx="14">
                  <c:v>52</c:v>
                </c:pt>
                <c:pt idx="15">
                  <c:v>53</c:v>
                </c:pt>
                <c:pt idx="16">
                  <c:v>54</c:v>
                </c:pt>
                <c:pt idx="17">
                  <c:v>55</c:v>
                </c:pt>
                <c:pt idx="18">
                  <c:v>56</c:v>
                </c:pt>
                <c:pt idx="19">
                  <c:v>57</c:v>
                </c:pt>
                <c:pt idx="20">
                  <c:v>58</c:v>
                </c:pt>
                <c:pt idx="21">
                  <c:v>59</c:v>
                </c:pt>
                <c:pt idx="22">
                  <c:v>60</c:v>
                </c:pt>
                <c:pt idx="23">
                  <c:v>61</c:v>
                </c:pt>
                <c:pt idx="24">
                  <c:v>62</c:v>
                </c:pt>
                <c:pt idx="25">
                  <c:v>63</c:v>
                </c:pt>
                <c:pt idx="26">
                  <c:v>64</c:v>
                </c:pt>
                <c:pt idx="27">
                  <c:v>65</c:v>
                </c:pt>
                <c:pt idx="28">
                  <c:v>66</c:v>
                </c:pt>
                <c:pt idx="29">
                  <c:v>67</c:v>
                </c:pt>
                <c:pt idx="30">
                  <c:v>68</c:v>
                </c:pt>
                <c:pt idx="31">
                  <c:v>69</c:v>
                </c:pt>
                <c:pt idx="32">
                  <c:v>70</c:v>
                </c:pt>
                <c:pt idx="33">
                  <c:v>71</c:v>
                </c:pt>
                <c:pt idx="34">
                  <c:v>72</c:v>
                </c:pt>
                <c:pt idx="35">
                  <c:v>73</c:v>
                </c:pt>
                <c:pt idx="36">
                  <c:v>74</c:v>
                </c:pt>
                <c:pt idx="37">
                  <c:v>75</c:v>
                </c:pt>
                <c:pt idx="38">
                  <c:v>76</c:v>
                </c:pt>
                <c:pt idx="39">
                  <c:v>77</c:v>
                </c:pt>
                <c:pt idx="40">
                  <c:v>78</c:v>
                </c:pt>
                <c:pt idx="41">
                  <c:v>79</c:v>
                </c:pt>
                <c:pt idx="42">
                  <c:v>80</c:v>
                </c:pt>
                <c:pt idx="43">
                  <c:v>81</c:v>
                </c:pt>
                <c:pt idx="44">
                  <c:v>82</c:v>
                </c:pt>
                <c:pt idx="45">
                  <c:v>83</c:v>
                </c:pt>
                <c:pt idx="46">
                  <c:v>84</c:v>
                </c:pt>
                <c:pt idx="47">
                  <c:v>85</c:v>
                </c:pt>
                <c:pt idx="48">
                  <c:v>86</c:v>
                </c:pt>
                <c:pt idx="49">
                  <c:v>87</c:v>
                </c:pt>
                <c:pt idx="50">
                  <c:v>88</c:v>
                </c:pt>
                <c:pt idx="51">
                  <c:v>89</c:v>
                </c:pt>
                <c:pt idx="52">
                  <c:v>90</c:v>
                </c:pt>
                <c:pt idx="53">
                  <c:v>91</c:v>
                </c:pt>
                <c:pt idx="54">
                  <c:v>92</c:v>
                </c:pt>
                <c:pt idx="55">
                  <c:v>93</c:v>
                </c:pt>
                <c:pt idx="56">
                  <c:v>94</c:v>
                </c:pt>
                <c:pt idx="57">
                  <c:v>95</c:v>
                </c:pt>
                <c:pt idx="58">
                  <c:v>96</c:v>
                </c:pt>
                <c:pt idx="59">
                  <c:v>97</c:v>
                </c:pt>
                <c:pt idx="60">
                  <c:v>98</c:v>
                </c:pt>
                <c:pt idx="61">
                  <c:v>99</c:v>
                </c:pt>
                <c:pt idx="62">
                  <c:v>100</c:v>
                </c:pt>
                <c:pt idx="63">
                  <c:v>101</c:v>
                </c:pt>
                <c:pt idx="64">
                  <c:v>102</c:v>
                </c:pt>
                <c:pt idx="65">
                  <c:v>103</c:v>
                </c:pt>
                <c:pt idx="66">
                  <c:v>104</c:v>
                </c:pt>
                <c:pt idx="67">
                  <c:v>105</c:v>
                </c:pt>
                <c:pt idx="68">
                  <c:v>106</c:v>
                </c:pt>
                <c:pt idx="69">
                  <c:v>107</c:v>
                </c:pt>
                <c:pt idx="70">
                  <c:v>108</c:v>
                </c:pt>
                <c:pt idx="71">
                  <c:v>109</c:v>
                </c:pt>
                <c:pt idx="72">
                  <c:v>110</c:v>
                </c:pt>
                <c:pt idx="73">
                  <c:v>111</c:v>
                </c:pt>
                <c:pt idx="74">
                  <c:v>112</c:v>
                </c:pt>
                <c:pt idx="75">
                  <c:v>113</c:v>
                </c:pt>
                <c:pt idx="76">
                  <c:v>114</c:v>
                </c:pt>
                <c:pt idx="77">
                  <c:v>115</c:v>
                </c:pt>
                <c:pt idx="78">
                  <c:v>116</c:v>
                </c:pt>
                <c:pt idx="79">
                  <c:v>117</c:v>
                </c:pt>
                <c:pt idx="80">
                  <c:v>118</c:v>
                </c:pt>
                <c:pt idx="81">
                  <c:v>119</c:v>
                </c:pt>
                <c:pt idx="82">
                  <c:v>120</c:v>
                </c:pt>
                <c:pt idx="83">
                  <c:v>121</c:v>
                </c:pt>
                <c:pt idx="84">
                  <c:v>122</c:v>
                </c:pt>
                <c:pt idx="85">
                  <c:v>123</c:v>
                </c:pt>
                <c:pt idx="86">
                  <c:v>124</c:v>
                </c:pt>
                <c:pt idx="87">
                  <c:v>125</c:v>
                </c:pt>
                <c:pt idx="88">
                  <c:v>126</c:v>
                </c:pt>
                <c:pt idx="89">
                  <c:v>127</c:v>
                </c:pt>
                <c:pt idx="90">
                  <c:v>128</c:v>
                </c:pt>
                <c:pt idx="91">
                  <c:v>129</c:v>
                </c:pt>
                <c:pt idx="92">
                  <c:v>130</c:v>
                </c:pt>
                <c:pt idx="93">
                  <c:v>131</c:v>
                </c:pt>
                <c:pt idx="94">
                  <c:v>132</c:v>
                </c:pt>
                <c:pt idx="95">
                  <c:v>133</c:v>
                </c:pt>
                <c:pt idx="96">
                  <c:v>134</c:v>
                </c:pt>
                <c:pt idx="97">
                  <c:v>135</c:v>
                </c:pt>
                <c:pt idx="98">
                  <c:v>136</c:v>
                </c:pt>
              </c:numCache>
            </c:numRef>
          </c:xVal>
          <c:yVal>
            <c:numRef>
              <c:f>'Long Rock Volumes'!$B$2:$B$100</c:f>
              <c:numCache>
                <c:formatCode>General</c:formatCode>
                <c:ptCount val="99"/>
                <c:pt idx="0">
                  <c:v>3.1880000000000002</c:v>
                </c:pt>
                <c:pt idx="1">
                  <c:v>2.786</c:v>
                </c:pt>
                <c:pt idx="2">
                  <c:v>2.4529999999999998</c:v>
                </c:pt>
                <c:pt idx="3">
                  <c:v>1.9590000000000001</c:v>
                </c:pt>
                <c:pt idx="4">
                  <c:v>1.585</c:v>
                </c:pt>
                <c:pt idx="5">
                  <c:v>1.3680000000000001</c:v>
                </c:pt>
                <c:pt idx="6">
                  <c:v>1.2030000000000001</c:v>
                </c:pt>
                <c:pt idx="7">
                  <c:v>1.0609999999999999</c:v>
                </c:pt>
                <c:pt idx="8">
                  <c:v>0.91800000000000004</c:v>
                </c:pt>
                <c:pt idx="9">
                  <c:v>0.78500000000000003</c:v>
                </c:pt>
                <c:pt idx="10">
                  <c:v>0.64300000000000002</c:v>
                </c:pt>
                <c:pt idx="11">
                  <c:v>0.51600000000000001</c:v>
                </c:pt>
                <c:pt idx="12">
                  <c:v>0.39800000000000002</c:v>
                </c:pt>
                <c:pt idx="13">
                  <c:v>0.25700000000000001</c:v>
                </c:pt>
                <c:pt idx="14">
                  <c:v>0.128</c:v>
                </c:pt>
                <c:pt idx="15">
                  <c:v>2.3E-2</c:v>
                </c:pt>
                <c:pt idx="16">
                  <c:v>-8.5999999999999993E-2</c:v>
                </c:pt>
                <c:pt idx="17">
                  <c:v>-0.20499999999999999</c:v>
                </c:pt>
                <c:pt idx="18">
                  <c:v>-0.32500000000000001</c:v>
                </c:pt>
                <c:pt idx="19">
                  <c:v>-0.436</c:v>
                </c:pt>
                <c:pt idx="20">
                  <c:v>-0.57399999999999995</c:v>
                </c:pt>
                <c:pt idx="21">
                  <c:v>-0.70799999999999996</c:v>
                </c:pt>
                <c:pt idx="22">
                  <c:v>-0.82199999999999995</c:v>
                </c:pt>
                <c:pt idx="23">
                  <c:v>-0.93500000000000005</c:v>
                </c:pt>
                <c:pt idx="24">
                  <c:v>-1.052</c:v>
                </c:pt>
                <c:pt idx="25">
                  <c:v>-1.1279999999999999</c:v>
                </c:pt>
                <c:pt idx="26">
                  <c:v>-1.2829999999999999</c:v>
                </c:pt>
                <c:pt idx="27">
                  <c:v>-1.3859999999999999</c:v>
                </c:pt>
                <c:pt idx="28">
                  <c:v>-1.427</c:v>
                </c:pt>
                <c:pt idx="29">
                  <c:v>-1.4119999999999999</c:v>
                </c:pt>
                <c:pt idx="30">
                  <c:v>-1.421</c:v>
                </c:pt>
                <c:pt idx="31">
                  <c:v>-1.4419999999999999</c:v>
                </c:pt>
                <c:pt idx="32">
                  <c:v>-1.456</c:v>
                </c:pt>
                <c:pt idx="33">
                  <c:v>-1.5</c:v>
                </c:pt>
                <c:pt idx="34">
                  <c:v>-1.5089999999999999</c:v>
                </c:pt>
                <c:pt idx="35">
                  <c:v>-1.56</c:v>
                </c:pt>
                <c:pt idx="36">
                  <c:v>-1.5740000000000001</c:v>
                </c:pt>
                <c:pt idx="37">
                  <c:v>-1.5860000000000001</c:v>
                </c:pt>
                <c:pt idx="38">
                  <c:v>-1.639</c:v>
                </c:pt>
                <c:pt idx="39">
                  <c:v>-1.665</c:v>
                </c:pt>
                <c:pt idx="40">
                  <c:v>-1.6859999999999999</c:v>
                </c:pt>
                <c:pt idx="41">
                  <c:v>-1.718</c:v>
                </c:pt>
                <c:pt idx="42">
                  <c:v>-1.746</c:v>
                </c:pt>
                <c:pt idx="43">
                  <c:v>-1.7749999999999999</c:v>
                </c:pt>
                <c:pt idx="44">
                  <c:v>-1.8180000000000001</c:v>
                </c:pt>
                <c:pt idx="45">
                  <c:v>-1.86</c:v>
                </c:pt>
                <c:pt idx="46">
                  <c:v>-1.869</c:v>
                </c:pt>
                <c:pt idx="47">
                  <c:v>-1.8839999999999999</c:v>
                </c:pt>
                <c:pt idx="48">
                  <c:v>-1.897</c:v>
                </c:pt>
                <c:pt idx="49">
                  <c:v>-1.9159999999999999</c:v>
                </c:pt>
                <c:pt idx="50">
                  <c:v>-1.956</c:v>
                </c:pt>
                <c:pt idx="51">
                  <c:v>-1.958</c:v>
                </c:pt>
                <c:pt idx="52">
                  <c:v>-1.99</c:v>
                </c:pt>
                <c:pt idx="53">
                  <c:v>-2.0249999999999999</c:v>
                </c:pt>
                <c:pt idx="54">
                  <c:v>-2.048</c:v>
                </c:pt>
                <c:pt idx="55">
                  <c:v>-2.08</c:v>
                </c:pt>
                <c:pt idx="56">
                  <c:v>-2.1070000000000002</c:v>
                </c:pt>
                <c:pt idx="57">
                  <c:v>-2.1070000000000002</c:v>
                </c:pt>
                <c:pt idx="58">
                  <c:v>-2.1309999999999998</c:v>
                </c:pt>
                <c:pt idx="59">
                  <c:v>-2.1579999999999999</c:v>
                </c:pt>
                <c:pt idx="60">
                  <c:v>-2.1589999999999998</c:v>
                </c:pt>
                <c:pt idx="61">
                  <c:v>-2.16</c:v>
                </c:pt>
                <c:pt idx="62">
                  <c:v>-2.16</c:v>
                </c:pt>
                <c:pt idx="63">
                  <c:v>-2.157</c:v>
                </c:pt>
                <c:pt idx="64">
                  <c:v>-2.1539999999999999</c:v>
                </c:pt>
                <c:pt idx="65">
                  <c:v>-2.1509999999999998</c:v>
                </c:pt>
                <c:pt idx="66">
                  <c:v>-2.1480000000000001</c:v>
                </c:pt>
                <c:pt idx="67">
                  <c:v>-2.145</c:v>
                </c:pt>
                <c:pt idx="68">
                  <c:v>-2.1419999999999999</c:v>
                </c:pt>
                <c:pt idx="69">
                  <c:v>-2.1389999999999998</c:v>
                </c:pt>
                <c:pt idx="70">
                  <c:v>-2.1360000000000001</c:v>
                </c:pt>
                <c:pt idx="71">
                  <c:v>-2.133</c:v>
                </c:pt>
                <c:pt idx="72">
                  <c:v>-2.1280000000000001</c:v>
                </c:pt>
                <c:pt idx="73">
                  <c:v>-2.1230000000000002</c:v>
                </c:pt>
                <c:pt idx="74">
                  <c:v>-2.1179999999999999</c:v>
                </c:pt>
                <c:pt idx="75">
                  <c:v>-2.113</c:v>
                </c:pt>
                <c:pt idx="76">
                  <c:v>-2.1120000000000001</c:v>
                </c:pt>
                <c:pt idx="77">
                  <c:v>-2.1110000000000002</c:v>
                </c:pt>
                <c:pt idx="78">
                  <c:v>-2.11</c:v>
                </c:pt>
                <c:pt idx="79">
                  <c:v>-2.109</c:v>
                </c:pt>
                <c:pt idx="80">
                  <c:v>-2.1080000000000001</c:v>
                </c:pt>
                <c:pt idx="81">
                  <c:v>-2.1070000000000002</c:v>
                </c:pt>
                <c:pt idx="82">
                  <c:v>-2.1059999999999999</c:v>
                </c:pt>
                <c:pt idx="83">
                  <c:v>-2.105</c:v>
                </c:pt>
                <c:pt idx="84">
                  <c:v>-2.1040000000000001</c:v>
                </c:pt>
                <c:pt idx="85">
                  <c:v>-2.1030000000000002</c:v>
                </c:pt>
                <c:pt idx="86">
                  <c:v>-2.1019999999999999</c:v>
                </c:pt>
                <c:pt idx="87">
                  <c:v>-2.101</c:v>
                </c:pt>
                <c:pt idx="88">
                  <c:v>-2.1</c:v>
                </c:pt>
                <c:pt idx="89">
                  <c:v>-2.0990000000000002</c:v>
                </c:pt>
                <c:pt idx="90">
                  <c:v>-2.0979999999999999</c:v>
                </c:pt>
                <c:pt idx="91">
                  <c:v>-2.097</c:v>
                </c:pt>
                <c:pt idx="92">
                  <c:v>-2.0960000000000001</c:v>
                </c:pt>
                <c:pt idx="93">
                  <c:v>-2.0950000000000002</c:v>
                </c:pt>
                <c:pt idx="94">
                  <c:v>-2.0939999999999999</c:v>
                </c:pt>
                <c:pt idx="95">
                  <c:v>-2.093</c:v>
                </c:pt>
                <c:pt idx="96">
                  <c:v>-2.0920000000000001</c:v>
                </c:pt>
                <c:pt idx="97">
                  <c:v>-2.0910000000000002</c:v>
                </c:pt>
                <c:pt idx="98">
                  <c:v>-2.09</c:v>
                </c:pt>
              </c:numCache>
            </c:numRef>
          </c:yVal>
          <c:smooth val="1"/>
          <c:extLst>
            <c:ext xmlns:c16="http://schemas.microsoft.com/office/drawing/2014/chart" uri="{C3380CC4-5D6E-409C-BE32-E72D297353CC}">
              <c16:uniqueId val="{00000001-422F-41F0-8BBD-989A8950F04A}"/>
            </c:ext>
          </c:extLst>
        </c:ser>
        <c:dLbls>
          <c:showLegendKey val="0"/>
          <c:showVal val="0"/>
          <c:showCatName val="0"/>
          <c:showSerName val="0"/>
          <c:showPercent val="0"/>
          <c:showBubbleSize val="0"/>
        </c:dLbls>
        <c:axId val="165656448"/>
        <c:axId val="165658624"/>
      </c:scatterChart>
      <c:valAx>
        <c:axId val="165656448"/>
        <c:scaling>
          <c:orientation val="minMax"/>
          <c:max val="145"/>
          <c:min val="3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658624"/>
        <c:crosses val="autoZero"/>
        <c:crossBetween val="midCat"/>
      </c:valAx>
      <c:valAx>
        <c:axId val="165658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656448"/>
        <c:crosses val="autoZero"/>
        <c:crossBetween val="midCat"/>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19</xdr:col>
      <xdr:colOff>553357</xdr:colOff>
      <xdr:row>8</xdr:row>
      <xdr:rowOff>18142</xdr:rowOff>
    </xdr:from>
    <xdr:to>
      <xdr:col>22</xdr:col>
      <xdr:colOff>562429</xdr:colOff>
      <xdr:row>8</xdr:row>
      <xdr:rowOff>45357</xdr:rowOff>
    </xdr:to>
    <xdr:cxnSp macro="">
      <xdr:nvCxnSpPr>
        <xdr:cNvPr id="5" name="Straight Connector 4">
          <a:extLst>
            <a:ext uri="{FF2B5EF4-FFF2-40B4-BE49-F238E27FC236}">
              <a16:creationId xmlns:a16="http://schemas.microsoft.com/office/drawing/2014/main" id="{3B43DC28-49E0-4766-97F6-0DF986FEA485}"/>
            </a:ext>
            <a:ext uri="{C183D7F6-B498-43B3-948B-1728B52AA6E4}">
              <adec:decorative xmlns:adec="http://schemas.microsoft.com/office/drawing/2017/decorative" val="1"/>
            </a:ext>
          </a:extLst>
        </xdr:cNvPr>
        <xdr:cNvCxnSpPr/>
      </xdr:nvCxnSpPr>
      <xdr:spPr>
        <a:xfrm>
          <a:off x="19603357" y="1469571"/>
          <a:ext cx="1914072" cy="2721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218966</xdr:colOff>
      <xdr:row>25</xdr:row>
      <xdr:rowOff>170793</xdr:rowOff>
    </xdr:from>
    <xdr:to>
      <xdr:col>24</xdr:col>
      <xdr:colOff>560552</xdr:colOff>
      <xdr:row>26</xdr:row>
      <xdr:rowOff>52552</xdr:rowOff>
    </xdr:to>
    <xdr:cxnSp macro="">
      <xdr:nvCxnSpPr>
        <xdr:cNvPr id="11" name="Straight Connector 10">
          <a:extLst>
            <a:ext uri="{FF2B5EF4-FFF2-40B4-BE49-F238E27FC236}">
              <a16:creationId xmlns:a16="http://schemas.microsoft.com/office/drawing/2014/main" id="{6A996FDA-C2DE-4CDB-B6C8-473F9B5B2D5E}"/>
            </a:ext>
            <a:ext uri="{C183D7F6-B498-43B3-948B-1728B52AA6E4}">
              <adec:decorative xmlns:adec="http://schemas.microsoft.com/office/drawing/2017/decorative" val="1"/>
            </a:ext>
          </a:extLst>
        </xdr:cNvPr>
        <xdr:cNvCxnSpPr/>
      </xdr:nvCxnSpPr>
      <xdr:spPr>
        <a:xfrm flipV="1">
          <a:off x="21813345" y="4953000"/>
          <a:ext cx="976586" cy="6569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xdr:row>
      <xdr:rowOff>0</xdr:rowOff>
    </xdr:from>
    <xdr:to>
      <xdr:col>28</xdr:col>
      <xdr:colOff>12401</xdr:colOff>
      <xdr:row>28</xdr:row>
      <xdr:rowOff>32391</xdr:rowOff>
    </xdr:to>
    <xdr:grpSp>
      <xdr:nvGrpSpPr>
        <xdr:cNvPr id="3" name="Group 2" descr="Extract of a budget pricing table">
          <a:extLst>
            <a:ext uri="{FF2B5EF4-FFF2-40B4-BE49-F238E27FC236}">
              <a16:creationId xmlns:a16="http://schemas.microsoft.com/office/drawing/2014/main" id="{F64E2571-03B5-4A51-8508-9E73429AE801}"/>
            </a:ext>
          </a:extLst>
        </xdr:cNvPr>
        <xdr:cNvGrpSpPr/>
      </xdr:nvGrpSpPr>
      <xdr:grpSpPr>
        <a:xfrm>
          <a:off x="11130139" y="776111"/>
          <a:ext cx="12976984" cy="4883086"/>
          <a:chOff x="11453519" y="752593"/>
          <a:chExt cx="13347401" cy="4724335"/>
        </a:xfrm>
      </xdr:grpSpPr>
      <xdr:pic>
        <xdr:nvPicPr>
          <xdr:cNvPr id="2" name="Picture 1">
            <a:extLst>
              <a:ext uri="{FF2B5EF4-FFF2-40B4-BE49-F238E27FC236}">
                <a16:creationId xmlns:a16="http://schemas.microsoft.com/office/drawing/2014/main" id="{6766465B-6F4C-4568-81E8-0CEC98BFBD1B}"/>
              </a:ext>
            </a:extLst>
          </xdr:cNvPr>
          <xdr:cNvPicPr>
            <a:picLocks noChangeAspect="1"/>
          </xdr:cNvPicPr>
        </xdr:nvPicPr>
        <xdr:blipFill>
          <a:blip xmlns:r="http://schemas.openxmlformats.org/officeDocument/2006/relationships" r:embed="rId1"/>
          <a:stretch>
            <a:fillRect/>
          </a:stretch>
        </xdr:blipFill>
        <xdr:spPr>
          <a:xfrm>
            <a:off x="11453519" y="752593"/>
            <a:ext cx="11585263" cy="4724335"/>
          </a:xfrm>
          <a:prstGeom prst="rect">
            <a:avLst/>
          </a:prstGeom>
        </xdr:spPr>
      </xdr:pic>
      <xdr:sp macro="" textlink="">
        <xdr:nvSpPr>
          <xdr:cNvPr id="6" name="TextBox 5">
            <a:extLst>
              <a:ext uri="{FF2B5EF4-FFF2-40B4-BE49-F238E27FC236}">
                <a16:creationId xmlns:a16="http://schemas.microsoft.com/office/drawing/2014/main" id="{C26BAAD3-41F6-464F-870E-FB812A978074}"/>
              </a:ext>
            </a:extLst>
          </xdr:cNvPr>
          <xdr:cNvSpPr txBox="1"/>
        </xdr:nvSpPr>
        <xdr:spPr>
          <a:xfrm>
            <a:off x="22959826" y="1132091"/>
            <a:ext cx="1841094" cy="438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5">
                    <a:lumMod val="75000"/>
                  </a:schemeClr>
                </a:solidFill>
                <a:latin typeface="Arial" panose="020B0604020202020204" pitchFamily="34" charset="0"/>
                <a:cs typeface="Arial" panose="020B0604020202020204" pitchFamily="34" charset="0"/>
              </a:rPr>
              <a:t>Already</a:t>
            </a:r>
            <a:r>
              <a:rPr lang="en-GB" sz="1200" b="1">
                <a:solidFill>
                  <a:srgbClr val="FF0000"/>
                </a:solidFill>
                <a:latin typeface="Arial" panose="020B0604020202020204" pitchFamily="34" charset="0"/>
                <a:cs typeface="Arial" panose="020B0604020202020204" pitchFamily="34" charset="0"/>
              </a:rPr>
              <a:t> </a:t>
            </a:r>
            <a:r>
              <a:rPr lang="en-GB" sz="1200" b="1">
                <a:solidFill>
                  <a:schemeClr val="accent5">
                    <a:lumMod val="75000"/>
                  </a:schemeClr>
                </a:solidFill>
                <a:latin typeface="Arial" panose="020B0604020202020204" pitchFamily="34" charset="0"/>
                <a:cs typeface="Arial" panose="020B0604020202020204" pitchFamily="34" charset="0"/>
              </a:rPr>
              <a:t>undertaken</a:t>
            </a:r>
          </a:p>
        </xdr:txBody>
      </xdr:sp>
      <xdr:cxnSp macro="">
        <xdr:nvCxnSpPr>
          <xdr:cNvPr id="8" name="Straight Arrow Connector 7">
            <a:extLst>
              <a:ext uri="{FF2B5EF4-FFF2-40B4-BE49-F238E27FC236}">
                <a16:creationId xmlns:a16="http://schemas.microsoft.com/office/drawing/2014/main" id="{82CE28C0-2499-4111-8774-A591608828AD}"/>
              </a:ext>
            </a:extLst>
          </xdr:cNvPr>
          <xdr:cNvCxnSpPr/>
        </xdr:nvCxnSpPr>
        <xdr:spPr>
          <a:xfrm flipH="1">
            <a:off x="21599368" y="1366791"/>
            <a:ext cx="1321504" cy="1449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a:extLst>
              <a:ext uri="{FF2B5EF4-FFF2-40B4-BE49-F238E27FC236}">
                <a16:creationId xmlns:a16="http://schemas.microsoft.com/office/drawing/2014/main" id="{69E4B340-D7D7-41CB-BAD5-02E11E2B5514}"/>
              </a:ext>
            </a:extLst>
          </xdr:cNvPr>
          <xdr:cNvSpPr txBox="1"/>
        </xdr:nvSpPr>
        <xdr:spPr>
          <a:xfrm>
            <a:off x="21703112" y="5006800"/>
            <a:ext cx="1268730" cy="22940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5">
                    <a:lumMod val="75000"/>
                  </a:schemeClr>
                </a:solidFill>
                <a:latin typeface="Arial" panose="020B0604020202020204" pitchFamily="34" charset="0"/>
                <a:cs typeface="Arial" panose="020B0604020202020204" pitchFamily="34" charset="0"/>
              </a:rPr>
              <a:t>£</a:t>
            </a:r>
            <a:r>
              <a:rPr lang="en-GB" sz="1200" b="1">
                <a:solidFill>
                  <a:srgbClr val="3366FF"/>
                </a:solidFill>
                <a:latin typeface="Arial" panose="020B0604020202020204" pitchFamily="34" charset="0"/>
                <a:cs typeface="Arial" panose="020B0604020202020204" pitchFamily="34" charset="0"/>
              </a:rPr>
              <a:t>12,078,570.21</a:t>
            </a:r>
          </a:p>
        </xdr:txBody>
      </xdr:sp>
      <xdr:sp macro="" textlink="">
        <xdr:nvSpPr>
          <xdr:cNvPr id="13" name="TextBox 12">
            <a:extLst>
              <a:ext uri="{FF2B5EF4-FFF2-40B4-BE49-F238E27FC236}">
                <a16:creationId xmlns:a16="http://schemas.microsoft.com/office/drawing/2014/main" id="{4A44D295-3205-46BF-BB5C-272E21AF21C1}"/>
              </a:ext>
            </a:extLst>
          </xdr:cNvPr>
          <xdr:cNvSpPr txBox="1"/>
        </xdr:nvSpPr>
        <xdr:spPr>
          <a:xfrm>
            <a:off x="22995578" y="1703194"/>
            <a:ext cx="1682302" cy="510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5">
                    <a:lumMod val="75000"/>
                  </a:schemeClr>
                </a:solidFill>
                <a:latin typeface="Arial" panose="020B0604020202020204" pitchFamily="34" charset="0"/>
                <a:cs typeface="Arial" panose="020B0604020202020204" pitchFamily="34" charset="0"/>
              </a:rPr>
              <a:t>Amended to exclude</a:t>
            </a:r>
            <a:r>
              <a:rPr lang="en-GB" sz="1200" b="1" baseline="0">
                <a:solidFill>
                  <a:schemeClr val="accent5">
                    <a:lumMod val="75000"/>
                  </a:schemeClr>
                </a:solidFill>
                <a:latin typeface="Arial" panose="020B0604020202020204" pitchFamily="34" charset="0"/>
                <a:cs typeface="Arial" panose="020B0604020202020204" pitchFamily="34" charset="0"/>
              </a:rPr>
              <a:t> clading</a:t>
            </a:r>
            <a:endParaRPr lang="en-GB" sz="1200" b="1">
              <a:solidFill>
                <a:schemeClr val="accent5">
                  <a:lumMod val="75000"/>
                </a:schemeClr>
              </a:solidFill>
              <a:latin typeface="Arial" panose="020B0604020202020204" pitchFamily="34" charset="0"/>
              <a:cs typeface="Arial" panose="020B0604020202020204" pitchFamily="34" charset="0"/>
            </a:endParaRPr>
          </a:p>
        </xdr:txBody>
      </xdr:sp>
      <xdr:sp macro="" textlink="">
        <xdr:nvSpPr>
          <xdr:cNvPr id="14" name="TextBox 13">
            <a:extLst>
              <a:ext uri="{FF2B5EF4-FFF2-40B4-BE49-F238E27FC236}">
                <a16:creationId xmlns:a16="http://schemas.microsoft.com/office/drawing/2014/main" id="{9D22BEA7-9148-4924-B39B-29745A7BAA8F}"/>
              </a:ext>
            </a:extLst>
          </xdr:cNvPr>
          <xdr:cNvSpPr txBox="1"/>
        </xdr:nvSpPr>
        <xdr:spPr>
          <a:xfrm>
            <a:off x="22983177" y="2795887"/>
            <a:ext cx="1678492" cy="511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accent5">
                    <a:lumMod val="75000"/>
                  </a:schemeClr>
                </a:solidFill>
                <a:latin typeface="Arial" panose="020B0604020202020204" pitchFamily="34" charset="0"/>
                <a:cs typeface="Arial" panose="020B0604020202020204" pitchFamily="34" charset="0"/>
              </a:rPr>
              <a:t>Amended following Contractor</a:t>
            </a:r>
            <a:r>
              <a:rPr lang="en-GB" sz="1200" b="1" baseline="0">
                <a:solidFill>
                  <a:schemeClr val="accent5">
                    <a:lumMod val="75000"/>
                  </a:schemeClr>
                </a:solidFill>
                <a:latin typeface="Arial" panose="020B0604020202020204" pitchFamily="34" charset="0"/>
                <a:cs typeface="Arial" panose="020B0604020202020204" pitchFamily="34" charset="0"/>
              </a:rPr>
              <a:t> revision</a:t>
            </a:r>
            <a:endParaRPr lang="en-GB" sz="1200" b="1">
              <a:solidFill>
                <a:schemeClr val="accent5">
                  <a:lumMod val="75000"/>
                </a:schemeClr>
              </a:solidFill>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552449</xdr:colOff>
      <xdr:row>3</xdr:row>
      <xdr:rowOff>56960</xdr:rowOff>
    </xdr:from>
    <xdr:to>
      <xdr:col>25</xdr:col>
      <xdr:colOff>417513</xdr:colOff>
      <xdr:row>30</xdr:row>
      <xdr:rowOff>51287</xdr:rowOff>
    </xdr:to>
    <xdr:pic>
      <xdr:nvPicPr>
        <xdr:cNvPr id="15" name="Picture 14" descr="Design drawing">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
        <a:stretch>
          <a:fillRect/>
        </a:stretch>
      </xdr:blipFill>
      <xdr:spPr>
        <a:xfrm>
          <a:off x="6934199" y="418910"/>
          <a:ext cx="6791325" cy="5902367"/>
        </a:xfrm>
        <a:prstGeom prst="rect">
          <a:avLst/>
        </a:prstGeom>
      </xdr:spPr>
    </xdr:pic>
    <xdr:clientData/>
  </xdr:twoCellAnchor>
  <xdr:twoCellAnchor editAs="oneCell">
    <xdr:from>
      <xdr:col>16</xdr:col>
      <xdr:colOff>600075</xdr:colOff>
      <xdr:row>54</xdr:row>
      <xdr:rowOff>133350</xdr:rowOff>
    </xdr:from>
    <xdr:to>
      <xdr:col>27</xdr:col>
      <xdr:colOff>25295</xdr:colOff>
      <xdr:row>71</xdr:row>
      <xdr:rowOff>27605</xdr:rowOff>
    </xdr:to>
    <xdr:pic>
      <xdr:nvPicPr>
        <xdr:cNvPr id="67" name="Picture 66" descr="Design drawing">
          <a:extLst>
            <a:ext uri="{FF2B5EF4-FFF2-40B4-BE49-F238E27FC236}">
              <a16:creationId xmlns:a16="http://schemas.microsoft.com/office/drawing/2014/main" id="{00000000-0008-0000-0400-00004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81825" y="10725150"/>
          <a:ext cx="7578090" cy="3153075"/>
        </a:xfrm>
        <a:prstGeom prst="rect">
          <a:avLst/>
        </a:prstGeom>
      </xdr:spPr>
    </xdr:pic>
    <xdr:clientData/>
  </xdr:twoCellAnchor>
  <xdr:twoCellAnchor editAs="oneCell">
    <xdr:from>
      <xdr:col>18</xdr:col>
      <xdr:colOff>19049</xdr:colOff>
      <xdr:row>71</xdr:row>
      <xdr:rowOff>47624</xdr:rowOff>
    </xdr:from>
    <xdr:to>
      <xdr:col>24</xdr:col>
      <xdr:colOff>481992</xdr:colOff>
      <xdr:row>83</xdr:row>
      <xdr:rowOff>76199</xdr:rowOff>
    </xdr:to>
    <xdr:pic>
      <xdr:nvPicPr>
        <xdr:cNvPr id="68" name="Picture 67" descr="Design drawing">
          <a:extLst>
            <a:ext uri="{FF2B5EF4-FFF2-40B4-BE49-F238E27FC236}">
              <a16:creationId xmlns:a16="http://schemas.microsoft.com/office/drawing/2014/main" id="{00000000-0008-0000-0400-00004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19999" y="13896974"/>
          <a:ext cx="4476250" cy="2562225"/>
        </a:xfrm>
        <a:prstGeom prst="rect">
          <a:avLst/>
        </a:prstGeom>
      </xdr:spPr>
    </xdr:pic>
    <xdr:clientData/>
  </xdr:twoCellAnchor>
  <xdr:twoCellAnchor editAs="oneCell">
    <xdr:from>
      <xdr:col>17</xdr:col>
      <xdr:colOff>438150</xdr:colOff>
      <xdr:row>32</xdr:row>
      <xdr:rowOff>171450</xdr:rowOff>
    </xdr:from>
    <xdr:to>
      <xdr:col>26</xdr:col>
      <xdr:colOff>214949</xdr:colOff>
      <xdr:row>41</xdr:row>
      <xdr:rowOff>160042</xdr:rowOff>
    </xdr:to>
    <xdr:pic>
      <xdr:nvPicPr>
        <xdr:cNvPr id="69" name="Picture 68" descr="Design drawing">
          <a:extLst>
            <a:ext uri="{FF2B5EF4-FFF2-40B4-BE49-F238E27FC236}">
              <a16:creationId xmlns:a16="http://schemas.microsoft.com/office/drawing/2014/main" id="{00000000-0008-0000-0400-00004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429500" y="7400925"/>
          <a:ext cx="5610225" cy="1843427"/>
        </a:xfrm>
        <a:prstGeom prst="rect">
          <a:avLst/>
        </a:prstGeom>
      </xdr:spPr>
    </xdr:pic>
    <xdr:clientData/>
  </xdr:twoCellAnchor>
  <xdr:twoCellAnchor editAs="oneCell">
    <xdr:from>
      <xdr:col>17</xdr:col>
      <xdr:colOff>312693</xdr:colOff>
      <xdr:row>95</xdr:row>
      <xdr:rowOff>137159</xdr:rowOff>
    </xdr:from>
    <xdr:to>
      <xdr:col>35</xdr:col>
      <xdr:colOff>193578</xdr:colOff>
      <xdr:row>118</xdr:row>
      <xdr:rowOff>283209</xdr:rowOff>
    </xdr:to>
    <xdr:pic>
      <xdr:nvPicPr>
        <xdr:cNvPr id="71" name="Picture 70" descr="Design drawing showing beach recharge">
          <a:extLst>
            <a:ext uri="{FF2B5EF4-FFF2-40B4-BE49-F238E27FC236}">
              <a16:creationId xmlns:a16="http://schemas.microsoft.com/office/drawing/2014/main" id="{00000000-0008-0000-0400-000047000000}"/>
            </a:ext>
          </a:extLst>
        </xdr:cNvPr>
        <xdr:cNvPicPr>
          <a:picLocks noChangeAspect="1"/>
        </xdr:cNvPicPr>
      </xdr:nvPicPr>
      <xdr:blipFill>
        <a:blip xmlns:r="http://schemas.openxmlformats.org/officeDocument/2006/relationships" r:embed="rId5"/>
        <a:stretch>
          <a:fillRect/>
        </a:stretch>
      </xdr:blipFill>
      <xdr:spPr>
        <a:xfrm>
          <a:off x="14481131" y="20391013"/>
          <a:ext cx="11218280" cy="5122757"/>
        </a:xfrm>
        <a:prstGeom prst="rect">
          <a:avLst/>
        </a:prstGeom>
      </xdr:spPr>
    </xdr:pic>
    <xdr:clientData/>
  </xdr:twoCellAnchor>
  <xdr:twoCellAnchor>
    <xdr:from>
      <xdr:col>20</xdr:col>
      <xdr:colOff>114300</xdr:colOff>
      <xdr:row>99</xdr:row>
      <xdr:rowOff>266700</xdr:rowOff>
    </xdr:from>
    <xdr:to>
      <xdr:col>21</xdr:col>
      <xdr:colOff>209550</xdr:colOff>
      <xdr:row>109</xdr:row>
      <xdr:rowOff>152400</xdr:rowOff>
    </xdr:to>
    <xdr:cxnSp macro="">
      <xdr:nvCxnSpPr>
        <xdr:cNvPr id="75" name="Straight Arrow Connector 74">
          <a:extLst>
            <a:ext uri="{FF2B5EF4-FFF2-40B4-BE49-F238E27FC236}">
              <a16:creationId xmlns:a16="http://schemas.microsoft.com/office/drawing/2014/main" id="{00000000-0008-0000-0400-00004B000000}"/>
            </a:ext>
            <a:ext uri="{C183D7F6-B498-43B3-948B-1728B52AA6E4}">
              <adec:decorative xmlns:adec="http://schemas.microsoft.com/office/drawing/2017/decorative" val="1"/>
            </a:ext>
          </a:extLst>
        </xdr:cNvPr>
        <xdr:cNvCxnSpPr/>
      </xdr:nvCxnSpPr>
      <xdr:spPr>
        <a:xfrm flipH="1">
          <a:off x="9191625" y="21116925"/>
          <a:ext cx="704850" cy="2057400"/>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21</xdr:col>
      <xdr:colOff>257175</xdr:colOff>
      <xdr:row>99</xdr:row>
      <xdr:rowOff>238125</xdr:rowOff>
    </xdr:from>
    <xdr:to>
      <xdr:col>24</xdr:col>
      <xdr:colOff>314325</xdr:colOff>
      <xdr:row>105</xdr:row>
      <xdr:rowOff>333375</xdr:rowOff>
    </xdr:to>
    <xdr:cxnSp macro="">
      <xdr:nvCxnSpPr>
        <xdr:cNvPr id="79" name="Straight Arrow Connector 78">
          <a:extLst>
            <a:ext uri="{FF2B5EF4-FFF2-40B4-BE49-F238E27FC236}">
              <a16:creationId xmlns:a16="http://schemas.microsoft.com/office/drawing/2014/main" id="{00000000-0008-0000-0400-00004F000000}"/>
            </a:ext>
            <a:ext uri="{C183D7F6-B498-43B3-948B-1728B52AA6E4}">
              <adec:decorative xmlns:adec="http://schemas.microsoft.com/office/drawing/2017/decorative" val="1"/>
            </a:ext>
          </a:extLst>
        </xdr:cNvPr>
        <xdr:cNvCxnSpPr/>
      </xdr:nvCxnSpPr>
      <xdr:spPr>
        <a:xfrm>
          <a:off x="9944100" y="21088350"/>
          <a:ext cx="1885950" cy="1362075"/>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18</xdr:col>
      <xdr:colOff>285748</xdr:colOff>
      <xdr:row>106</xdr:row>
      <xdr:rowOff>190499</xdr:rowOff>
    </xdr:from>
    <xdr:to>
      <xdr:col>19</xdr:col>
      <xdr:colOff>583405</xdr:colOff>
      <xdr:row>108</xdr:row>
      <xdr:rowOff>130968</xdr:rowOff>
    </xdr:to>
    <xdr:sp macro="" textlink="">
      <xdr:nvSpPr>
        <xdr:cNvPr id="2" name="TextBox 1">
          <a:extLst>
            <a:ext uri="{FF2B5EF4-FFF2-40B4-BE49-F238E27FC236}">
              <a16:creationId xmlns:a16="http://schemas.microsoft.com/office/drawing/2014/main" id="{4D2416A4-8813-4B89-8AEA-629A4054B680}"/>
            </a:ext>
          </a:extLst>
        </xdr:cNvPr>
        <xdr:cNvSpPr txBox="1"/>
      </xdr:nvSpPr>
      <xdr:spPr>
        <a:xfrm>
          <a:off x="7977186" y="23610093"/>
          <a:ext cx="904875" cy="321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BAY</a:t>
          </a:r>
          <a:r>
            <a:rPr lang="en-GB" sz="1100" baseline="0"/>
            <a:t> I</a:t>
          </a:r>
          <a:endParaRPr lang="en-GB" sz="1100"/>
        </a:p>
      </xdr:txBody>
    </xdr:sp>
    <xdr:clientData/>
  </xdr:twoCellAnchor>
  <xdr:twoCellAnchor>
    <xdr:from>
      <xdr:col>23</xdr:col>
      <xdr:colOff>342899</xdr:colOff>
      <xdr:row>105</xdr:row>
      <xdr:rowOff>45243</xdr:rowOff>
    </xdr:from>
    <xdr:to>
      <xdr:col>25</xdr:col>
      <xdr:colOff>33336</xdr:colOff>
      <xdr:row>105</xdr:row>
      <xdr:rowOff>366712</xdr:rowOff>
    </xdr:to>
    <xdr:sp macro="" textlink="">
      <xdr:nvSpPr>
        <xdr:cNvPr id="11" name="TextBox 10">
          <a:extLst>
            <a:ext uri="{FF2B5EF4-FFF2-40B4-BE49-F238E27FC236}">
              <a16:creationId xmlns:a16="http://schemas.microsoft.com/office/drawing/2014/main" id="{4180C6D9-8160-4B40-A481-73D54E7D037F}"/>
            </a:ext>
          </a:extLst>
        </xdr:cNvPr>
        <xdr:cNvSpPr txBox="1"/>
      </xdr:nvSpPr>
      <xdr:spPr>
        <a:xfrm>
          <a:off x="11070430" y="23083837"/>
          <a:ext cx="904875" cy="321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BAY</a:t>
          </a:r>
          <a:r>
            <a:rPr lang="en-GB" sz="1100" baseline="0"/>
            <a:t> II</a:t>
          </a:r>
          <a:endParaRPr lang="en-GB" sz="1100"/>
        </a:p>
      </xdr:txBody>
    </xdr:sp>
    <xdr:clientData/>
  </xdr:twoCellAnchor>
  <xdr:twoCellAnchor>
    <xdr:from>
      <xdr:col>28</xdr:col>
      <xdr:colOff>519111</xdr:colOff>
      <xdr:row>99</xdr:row>
      <xdr:rowOff>304800</xdr:rowOff>
    </xdr:from>
    <xdr:to>
      <xdr:col>30</xdr:col>
      <xdr:colOff>209548</xdr:colOff>
      <xdr:row>101</xdr:row>
      <xdr:rowOff>54769</xdr:rowOff>
    </xdr:to>
    <xdr:sp macro="" textlink="">
      <xdr:nvSpPr>
        <xdr:cNvPr id="12" name="TextBox 11">
          <a:extLst>
            <a:ext uri="{FF2B5EF4-FFF2-40B4-BE49-F238E27FC236}">
              <a16:creationId xmlns:a16="http://schemas.microsoft.com/office/drawing/2014/main" id="{AE84D91F-1900-4734-B434-873CE895F6AC}"/>
            </a:ext>
          </a:extLst>
        </xdr:cNvPr>
        <xdr:cNvSpPr txBox="1"/>
      </xdr:nvSpPr>
      <xdr:spPr>
        <a:xfrm>
          <a:off x="14282736" y="22009894"/>
          <a:ext cx="904875" cy="321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BAY</a:t>
          </a:r>
          <a:r>
            <a:rPr lang="en-GB" sz="1100" baseline="0"/>
            <a:t> III</a:t>
          </a:r>
          <a:endParaRPr lang="en-GB" sz="1100"/>
        </a:p>
      </xdr:txBody>
    </xdr:sp>
    <xdr:clientData/>
  </xdr:twoCellAnchor>
  <xdr:twoCellAnchor>
    <xdr:from>
      <xdr:col>33</xdr:col>
      <xdr:colOff>391750</xdr:colOff>
      <xdr:row>98</xdr:row>
      <xdr:rowOff>102393</xdr:rowOff>
    </xdr:from>
    <xdr:to>
      <xdr:col>35</xdr:col>
      <xdr:colOff>82188</xdr:colOff>
      <xdr:row>99</xdr:row>
      <xdr:rowOff>233362</xdr:rowOff>
    </xdr:to>
    <xdr:sp macro="" textlink="">
      <xdr:nvSpPr>
        <xdr:cNvPr id="13" name="TextBox 12">
          <a:extLst>
            <a:ext uri="{FF2B5EF4-FFF2-40B4-BE49-F238E27FC236}">
              <a16:creationId xmlns:a16="http://schemas.microsoft.com/office/drawing/2014/main" id="{781982BC-2FDF-4BF4-9A95-5B9D7E2ABB07}"/>
            </a:ext>
          </a:extLst>
        </xdr:cNvPr>
        <xdr:cNvSpPr txBox="1"/>
      </xdr:nvSpPr>
      <xdr:spPr>
        <a:xfrm>
          <a:off x="17191469" y="21616987"/>
          <a:ext cx="904875" cy="321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BAY</a:t>
          </a:r>
          <a:r>
            <a:rPr lang="en-GB" sz="1100" baseline="0"/>
            <a:t> IV</a:t>
          </a: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566692</xdr:colOff>
      <xdr:row>5</xdr:row>
      <xdr:rowOff>68018</xdr:rowOff>
    </xdr:from>
    <xdr:to>
      <xdr:col>37</xdr:col>
      <xdr:colOff>192176</xdr:colOff>
      <xdr:row>30</xdr:row>
      <xdr:rowOff>47857</xdr:rowOff>
    </xdr:to>
    <xdr:grpSp>
      <xdr:nvGrpSpPr>
        <xdr:cNvPr id="2" name="Group 1" descr="Design drawing">
          <a:extLst>
            <a:ext uri="{FF2B5EF4-FFF2-40B4-BE49-F238E27FC236}">
              <a16:creationId xmlns:a16="http://schemas.microsoft.com/office/drawing/2014/main" id="{7B901343-DAD0-4B0B-896D-E64D229D1848}"/>
            </a:ext>
          </a:extLst>
        </xdr:cNvPr>
        <xdr:cNvGrpSpPr/>
      </xdr:nvGrpSpPr>
      <xdr:grpSpPr>
        <a:xfrm>
          <a:off x="15401880" y="1139581"/>
          <a:ext cx="11388859" cy="6623526"/>
          <a:chOff x="8431317" y="1164290"/>
          <a:chExt cx="11266565" cy="5093532"/>
        </a:xfrm>
      </xdr:grpSpPr>
      <xdr:grpSp>
        <xdr:nvGrpSpPr>
          <xdr:cNvPr id="3" name="Group 2">
            <a:extLst>
              <a:ext uri="{FF2B5EF4-FFF2-40B4-BE49-F238E27FC236}">
                <a16:creationId xmlns:a16="http://schemas.microsoft.com/office/drawing/2014/main" id="{C024929A-EC73-444B-96D7-40C79FCB401F}"/>
              </a:ext>
            </a:extLst>
          </xdr:cNvPr>
          <xdr:cNvGrpSpPr/>
        </xdr:nvGrpSpPr>
        <xdr:grpSpPr>
          <a:xfrm>
            <a:off x="8431317" y="1164290"/>
            <a:ext cx="11266565" cy="5093532"/>
            <a:chOff x="8431317" y="1164290"/>
            <a:chExt cx="11266565" cy="5093532"/>
          </a:xfrm>
        </xdr:grpSpPr>
        <xdr:pic>
          <xdr:nvPicPr>
            <xdr:cNvPr id="8" name="Picture 7">
              <a:extLst>
                <a:ext uri="{FF2B5EF4-FFF2-40B4-BE49-F238E27FC236}">
                  <a16:creationId xmlns:a16="http://schemas.microsoft.com/office/drawing/2014/main" id="{77ADD6FC-F985-46C0-A697-4A7B64BCED91}"/>
                </a:ext>
              </a:extLst>
            </xdr:cNvPr>
            <xdr:cNvPicPr>
              <a:picLocks noChangeAspect="1"/>
            </xdr:cNvPicPr>
          </xdr:nvPicPr>
          <xdr:blipFill>
            <a:blip xmlns:r="http://schemas.openxmlformats.org/officeDocument/2006/relationships" r:embed="rId1"/>
            <a:stretch>
              <a:fillRect/>
            </a:stretch>
          </xdr:blipFill>
          <xdr:spPr>
            <a:xfrm>
              <a:off x="8431317" y="1164290"/>
              <a:ext cx="11266565" cy="5093532"/>
            </a:xfrm>
            <a:prstGeom prst="rect">
              <a:avLst/>
            </a:prstGeom>
          </xdr:spPr>
        </xdr:pic>
        <xdr:cxnSp macro="">
          <xdr:nvCxnSpPr>
            <xdr:cNvPr id="9" name="Straight Arrow Connector 8">
              <a:extLst>
                <a:ext uri="{FF2B5EF4-FFF2-40B4-BE49-F238E27FC236}">
                  <a16:creationId xmlns:a16="http://schemas.microsoft.com/office/drawing/2014/main" id="{13AC22B8-9E09-4815-9718-D542317E7D2A}"/>
                </a:ext>
              </a:extLst>
            </xdr:cNvPr>
            <xdr:cNvCxnSpPr/>
          </xdr:nvCxnSpPr>
          <xdr:spPr>
            <a:xfrm flipH="1">
              <a:off x="10072594" y="2044700"/>
              <a:ext cx="707838" cy="2082053"/>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xnSp macro="">
          <xdr:nvCxnSpPr>
            <xdr:cNvPr id="10" name="Straight Arrow Connector 9">
              <a:extLst>
                <a:ext uri="{FF2B5EF4-FFF2-40B4-BE49-F238E27FC236}">
                  <a16:creationId xmlns:a16="http://schemas.microsoft.com/office/drawing/2014/main" id="{AE51FDBB-520A-4306-B73E-B2B8243685FA}"/>
                </a:ext>
              </a:extLst>
            </xdr:cNvPr>
            <xdr:cNvCxnSpPr/>
          </xdr:nvCxnSpPr>
          <xdr:spPr>
            <a:xfrm>
              <a:off x="10828057" y="2016125"/>
              <a:ext cx="1894915" cy="1395132"/>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grpSp>
      <xdr:sp macro="" textlink="">
        <xdr:nvSpPr>
          <xdr:cNvPr id="4" name="TextBox 3">
            <a:extLst>
              <a:ext uri="{FF2B5EF4-FFF2-40B4-BE49-F238E27FC236}">
                <a16:creationId xmlns:a16="http://schemas.microsoft.com/office/drawing/2014/main" id="{E9AC1816-E76C-4120-BD31-B503E7F727DC}"/>
              </a:ext>
            </a:extLst>
          </xdr:cNvPr>
          <xdr:cNvSpPr txBox="1"/>
        </xdr:nvSpPr>
        <xdr:spPr>
          <a:xfrm>
            <a:off x="9018866" y="3628090"/>
            <a:ext cx="910245" cy="290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BAY</a:t>
            </a:r>
            <a:r>
              <a:rPr lang="en-GB" sz="1100" baseline="0"/>
              <a:t> I</a:t>
            </a:r>
            <a:endParaRPr lang="en-GB" sz="1100"/>
          </a:p>
        </xdr:txBody>
      </xdr:sp>
      <xdr:sp macro="" textlink="">
        <xdr:nvSpPr>
          <xdr:cNvPr id="5" name="TextBox 4">
            <a:extLst>
              <a:ext uri="{FF2B5EF4-FFF2-40B4-BE49-F238E27FC236}">
                <a16:creationId xmlns:a16="http://schemas.microsoft.com/office/drawing/2014/main" id="{ED15F373-D2C2-43D5-85DC-1E010F56077A}"/>
              </a:ext>
            </a:extLst>
          </xdr:cNvPr>
          <xdr:cNvSpPr txBox="1"/>
        </xdr:nvSpPr>
        <xdr:spPr>
          <a:xfrm>
            <a:off x="12138958" y="3123125"/>
            <a:ext cx="915613" cy="321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BAY</a:t>
            </a:r>
            <a:r>
              <a:rPr lang="en-GB" sz="1100" baseline="0"/>
              <a:t> II</a:t>
            </a:r>
            <a:endParaRPr lang="en-GB" sz="1100"/>
          </a:p>
        </xdr:txBody>
      </xdr:sp>
      <xdr:sp macro="" textlink="">
        <xdr:nvSpPr>
          <xdr:cNvPr id="6" name="TextBox 5">
            <a:extLst>
              <a:ext uri="{FF2B5EF4-FFF2-40B4-BE49-F238E27FC236}">
                <a16:creationId xmlns:a16="http://schemas.microsoft.com/office/drawing/2014/main" id="{6DD6AD09-F98A-4219-9154-45A116EAE8C7}"/>
              </a:ext>
            </a:extLst>
          </xdr:cNvPr>
          <xdr:cNvSpPr txBox="1"/>
        </xdr:nvSpPr>
        <xdr:spPr>
          <a:xfrm>
            <a:off x="15378111" y="2082800"/>
            <a:ext cx="915613" cy="3027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BAY</a:t>
            </a:r>
            <a:r>
              <a:rPr lang="en-GB" sz="1100" baseline="0"/>
              <a:t> III</a:t>
            </a:r>
            <a:endParaRPr lang="en-GB" sz="1100"/>
          </a:p>
        </xdr:txBody>
      </xdr:sp>
      <xdr:sp macro="" textlink="">
        <xdr:nvSpPr>
          <xdr:cNvPr id="7" name="TextBox 6">
            <a:extLst>
              <a:ext uri="{FF2B5EF4-FFF2-40B4-BE49-F238E27FC236}">
                <a16:creationId xmlns:a16="http://schemas.microsoft.com/office/drawing/2014/main" id="{6CF41322-7A56-4054-8920-5ADF81B3C21F}"/>
              </a:ext>
            </a:extLst>
          </xdr:cNvPr>
          <xdr:cNvSpPr txBox="1"/>
        </xdr:nvSpPr>
        <xdr:spPr>
          <a:xfrm>
            <a:off x="18313691" y="1693628"/>
            <a:ext cx="915615" cy="3177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BAY</a:t>
            </a:r>
            <a:r>
              <a:rPr lang="en-GB" sz="1100" baseline="0"/>
              <a:t> IV</a:t>
            </a:r>
            <a:endParaRPr lang="en-GB"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19051</xdr:colOff>
      <xdr:row>5</xdr:row>
      <xdr:rowOff>123825</xdr:rowOff>
    </xdr:from>
    <xdr:to>
      <xdr:col>23</xdr:col>
      <xdr:colOff>428625</xdr:colOff>
      <xdr:row>22</xdr:row>
      <xdr:rowOff>114300</xdr:rowOff>
    </xdr:to>
    <xdr:graphicFrame macro="">
      <xdr:nvGraphicFramePr>
        <xdr:cNvPr id="2" name="Chart 1" descr="Short rock volumes chart">
          <a:extLst>
            <a:ext uri="{FF2B5EF4-FFF2-40B4-BE49-F238E27FC236}">
              <a16:creationId xmlns:a16="http://schemas.microsoft.com/office/drawing/2014/main" id="{B146A183-7139-48E1-8320-9F5F0A11D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219076</xdr:colOff>
      <xdr:row>17</xdr:row>
      <xdr:rowOff>133350</xdr:rowOff>
    </xdr:from>
    <xdr:to>
      <xdr:col>24</xdr:col>
      <xdr:colOff>19050</xdr:colOff>
      <xdr:row>34</xdr:row>
      <xdr:rowOff>123825</xdr:rowOff>
    </xdr:to>
    <xdr:graphicFrame macro="">
      <xdr:nvGraphicFramePr>
        <xdr:cNvPr id="2" name="Chart 1" descr="Long rock volumes chart">
          <a:extLst>
            <a:ext uri="{FF2B5EF4-FFF2-40B4-BE49-F238E27FC236}">
              <a16:creationId xmlns:a16="http://schemas.microsoft.com/office/drawing/2014/main" id="{C234977F-A49E-4DD0-A5B9-21B7098C2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228600</xdr:colOff>
      <xdr:row>2</xdr:row>
      <xdr:rowOff>152400</xdr:rowOff>
    </xdr:from>
    <xdr:to>
      <xdr:col>22</xdr:col>
      <xdr:colOff>608562</xdr:colOff>
      <xdr:row>15</xdr:row>
      <xdr:rowOff>9280</xdr:rowOff>
    </xdr:to>
    <xdr:pic>
      <xdr:nvPicPr>
        <xdr:cNvPr id="3" name="Picture 2" descr="Design drawing with rock volumes">
          <a:extLst>
            <a:ext uri="{FF2B5EF4-FFF2-40B4-BE49-F238E27FC236}">
              <a16:creationId xmlns:a16="http://schemas.microsoft.com/office/drawing/2014/main" id="{7820C632-B4C1-412E-A688-D88F18FC7117}"/>
            </a:ext>
          </a:extLst>
        </xdr:cNvPr>
        <xdr:cNvPicPr>
          <a:picLocks noChangeAspect="1"/>
        </xdr:cNvPicPr>
      </xdr:nvPicPr>
      <xdr:blipFill>
        <a:blip xmlns:r="http://schemas.openxmlformats.org/officeDocument/2006/relationships" r:embed="rId2"/>
        <a:stretch>
          <a:fillRect/>
        </a:stretch>
      </xdr:blipFill>
      <xdr:spPr>
        <a:xfrm>
          <a:off x="7000875" y="800100"/>
          <a:ext cx="8304762" cy="196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M55"/>
  <sheetViews>
    <sheetView zoomScale="85" zoomScaleNormal="85" workbookViewId="0">
      <selection activeCell="F18" sqref="F18"/>
    </sheetView>
  </sheetViews>
  <sheetFormatPr defaultRowHeight="15" x14ac:dyDescent="0.25"/>
  <cols>
    <col min="1" max="1" width="9.140625" style="578"/>
    <col min="2" max="2" width="24.42578125" customWidth="1"/>
    <col min="3" max="3" width="15.140625" bestFit="1" customWidth="1"/>
    <col min="4" max="4" width="19.5703125" customWidth="1"/>
    <col min="5" max="5" width="26.85546875" customWidth="1"/>
    <col min="6" max="6" width="22.42578125" customWidth="1"/>
    <col min="7" max="7" width="14.42578125" bestFit="1" customWidth="1"/>
    <col min="8" max="8" width="13.85546875" bestFit="1" customWidth="1"/>
    <col min="11" max="11" width="13.85546875" bestFit="1" customWidth="1"/>
    <col min="12" max="12" width="12.85546875" bestFit="1" customWidth="1"/>
    <col min="13" max="13" width="12.5703125" bestFit="1" customWidth="1"/>
  </cols>
  <sheetData>
    <row r="1" spans="1:13" x14ac:dyDescent="0.25">
      <c r="B1" s="123" t="s">
        <v>316</v>
      </c>
    </row>
    <row r="2" spans="1:13" x14ac:dyDescent="0.25">
      <c r="F2" t="s">
        <v>67</v>
      </c>
      <c r="G2" t="s">
        <v>64</v>
      </c>
      <c r="H2" t="s">
        <v>68</v>
      </c>
    </row>
    <row r="3" spans="1:13" s="122" customFormat="1" x14ac:dyDescent="0.25">
      <c r="A3" s="578"/>
    </row>
    <row r="4" spans="1:13" x14ac:dyDescent="0.25">
      <c r="E4" s="1" t="s">
        <v>318</v>
      </c>
      <c r="F4" s="122">
        <v>1</v>
      </c>
      <c r="G4" s="602">
        <f>340882+40722+G17-D18</f>
        <v>491699.99999999994</v>
      </c>
      <c r="H4" s="602">
        <f>G4*F4</f>
        <v>491699.99999999994</v>
      </c>
      <c r="I4" s="122" t="s">
        <v>314</v>
      </c>
      <c r="M4" s="302">
        <f>250776.7+40722</f>
        <v>291498.7</v>
      </c>
    </row>
    <row r="5" spans="1:13" x14ac:dyDescent="0.25">
      <c r="E5" s="1" t="s">
        <v>313</v>
      </c>
      <c r="F5" s="122">
        <v>1</v>
      </c>
      <c r="G5" s="602">
        <f>10000*5</f>
        <v>50000</v>
      </c>
      <c r="H5" s="602">
        <f t="shared" ref="H5:H17" si="0">G5*F5</f>
        <v>50000</v>
      </c>
      <c r="I5" s="122"/>
    </row>
    <row r="6" spans="1:13" x14ac:dyDescent="0.25">
      <c r="E6" s="1" t="s">
        <v>66</v>
      </c>
      <c r="F6" s="122">
        <v>1</v>
      </c>
      <c r="G6" s="602">
        <v>305000</v>
      </c>
      <c r="H6" s="602">
        <f t="shared" si="0"/>
        <v>305000</v>
      </c>
      <c r="I6" s="122">
        <f>12200000*2.5%</f>
        <v>305000</v>
      </c>
      <c r="J6" t="s">
        <v>312</v>
      </c>
    </row>
    <row r="7" spans="1:13" s="122" customFormat="1" x14ac:dyDescent="0.25">
      <c r="A7" s="578"/>
      <c r="E7" s="1" t="s">
        <v>307</v>
      </c>
      <c r="F7" s="122">
        <v>1</v>
      </c>
      <c r="G7" s="602">
        <v>20000</v>
      </c>
      <c r="H7" s="602">
        <f t="shared" si="0"/>
        <v>20000</v>
      </c>
      <c r="I7" s="122" t="s">
        <v>308</v>
      </c>
    </row>
    <row r="8" spans="1:13" x14ac:dyDescent="0.25">
      <c r="E8" s="1" t="s">
        <v>306</v>
      </c>
      <c r="F8" s="122">
        <v>1</v>
      </c>
      <c r="G8" s="602">
        <f>50000+15000+5000</f>
        <v>70000</v>
      </c>
      <c r="H8" s="602">
        <f t="shared" si="0"/>
        <v>70000</v>
      </c>
      <c r="I8" s="122"/>
    </row>
    <row r="9" spans="1:13" x14ac:dyDescent="0.25">
      <c r="E9" s="1" t="s">
        <v>58</v>
      </c>
      <c r="F9" s="122">
        <v>1</v>
      </c>
      <c r="G9" s="602">
        <f>C35</f>
        <v>375000</v>
      </c>
      <c r="H9" s="602">
        <f t="shared" si="0"/>
        <v>375000</v>
      </c>
      <c r="I9" s="122" t="s">
        <v>331</v>
      </c>
    </row>
    <row r="10" spans="1:13" x14ac:dyDescent="0.25">
      <c r="E10" s="1" t="s">
        <v>63</v>
      </c>
      <c r="F10" s="122">
        <v>1</v>
      </c>
      <c r="G10" s="602">
        <f>43*37.5*65+(43+8)*37.5*85</f>
        <v>267375</v>
      </c>
      <c r="H10" s="602">
        <f>G10*F10</f>
        <v>267375</v>
      </c>
      <c r="I10" s="122" t="s">
        <v>340</v>
      </c>
    </row>
    <row r="11" spans="1:13" x14ac:dyDescent="0.25">
      <c r="E11" s="1" t="s">
        <v>59</v>
      </c>
      <c r="F11" s="122">
        <v>1</v>
      </c>
      <c r="G11" s="602">
        <v>0</v>
      </c>
      <c r="H11" s="602">
        <f t="shared" si="0"/>
        <v>0</v>
      </c>
      <c r="I11" s="122"/>
    </row>
    <row r="12" spans="1:13" x14ac:dyDescent="0.25">
      <c r="E12" s="1" t="s">
        <v>60</v>
      </c>
      <c r="F12" s="122">
        <v>1</v>
      </c>
      <c r="G12" s="602">
        <v>0</v>
      </c>
      <c r="H12" s="602">
        <f t="shared" si="0"/>
        <v>0</v>
      </c>
      <c r="I12" s="122"/>
    </row>
    <row r="13" spans="1:13" x14ac:dyDescent="0.25">
      <c r="E13" s="1"/>
      <c r="F13" s="122">
        <v>1</v>
      </c>
      <c r="G13" s="602">
        <v>0</v>
      </c>
      <c r="H13" s="602">
        <f t="shared" si="0"/>
        <v>0</v>
      </c>
      <c r="I13" s="122"/>
    </row>
    <row r="14" spans="1:13" x14ac:dyDescent="0.25">
      <c r="E14" s="1" t="s">
        <v>61</v>
      </c>
      <c r="F14" s="122"/>
      <c r="G14" s="602"/>
      <c r="H14" s="602">
        <f t="shared" si="0"/>
        <v>0</v>
      </c>
      <c r="I14" s="122"/>
    </row>
    <row r="15" spans="1:13" x14ac:dyDescent="0.25">
      <c r="E15" s="1" t="s">
        <v>5</v>
      </c>
      <c r="F15">
        <v>1</v>
      </c>
      <c r="G15" s="602">
        <v>45000</v>
      </c>
      <c r="H15" s="602">
        <f t="shared" si="0"/>
        <v>45000</v>
      </c>
      <c r="I15" t="s">
        <v>305</v>
      </c>
    </row>
    <row r="16" spans="1:13" x14ac:dyDescent="0.25">
      <c r="E16" s="1"/>
      <c r="G16" s="599"/>
      <c r="H16" s="599"/>
    </row>
    <row r="17" spans="1:12" x14ac:dyDescent="0.25">
      <c r="E17" s="1" t="s">
        <v>315</v>
      </c>
      <c r="F17">
        <v>1</v>
      </c>
      <c r="G17" s="603">
        <f>110096+D18</f>
        <v>282471.67999999999</v>
      </c>
      <c r="H17" s="602">
        <f t="shared" si="0"/>
        <v>282471.67999999999</v>
      </c>
    </row>
    <row r="18" spans="1:12" x14ac:dyDescent="0.25">
      <c r="C18" t="s">
        <v>317</v>
      </c>
      <c r="D18" s="365">
        <v>172375.67999999999</v>
      </c>
      <c r="E18" s="131" t="s">
        <v>344</v>
      </c>
      <c r="G18" s="365"/>
    </row>
    <row r="19" spans="1:12" x14ac:dyDescent="0.25">
      <c r="E19" s="131"/>
    </row>
    <row r="20" spans="1:12" x14ac:dyDescent="0.25">
      <c r="E20" s="132"/>
      <c r="H20" s="97"/>
    </row>
    <row r="21" spans="1:12" x14ac:dyDescent="0.25">
      <c r="B21" s="542" t="s">
        <v>332</v>
      </c>
      <c r="C21" s="536"/>
      <c r="D21" s="536"/>
      <c r="E21" s="536"/>
      <c r="F21" s="536"/>
      <c r="G21" s="536"/>
      <c r="H21" s="536"/>
    </row>
    <row r="22" spans="1:12" x14ac:dyDescent="0.25">
      <c r="B22" s="536" t="s">
        <v>372</v>
      </c>
      <c r="C22" s="536"/>
      <c r="D22" s="536"/>
      <c r="E22" s="536"/>
      <c r="F22" s="536"/>
      <c r="G22" s="536"/>
      <c r="H22" s="536"/>
    </row>
    <row r="23" spans="1:12" x14ac:dyDescent="0.25">
      <c r="B23" s="536" t="s">
        <v>320</v>
      </c>
      <c r="C23" s="536"/>
      <c r="D23" s="537">
        <v>7.0000000000000007E-2</v>
      </c>
      <c r="E23" s="537"/>
      <c r="F23" s="536" t="s">
        <v>321</v>
      </c>
      <c r="G23" s="536"/>
      <c r="H23" s="538">
        <v>0.14499999999999999</v>
      </c>
      <c r="J23" s="536" t="s">
        <v>321</v>
      </c>
      <c r="K23" s="536"/>
      <c r="L23" s="538">
        <v>0.21</v>
      </c>
    </row>
    <row r="24" spans="1:12" ht="64.5" x14ac:dyDescent="0.25">
      <c r="A24" s="578" t="s">
        <v>14</v>
      </c>
      <c r="B24" s="539" t="s">
        <v>322</v>
      </c>
      <c r="C24" s="598">
        <f>'Preferred OBC PV'!AT27-('Preferred OBC PV'!AA27+'Preferred OBC PV'!AR27+'Preferred OBC PV'!AS27)</f>
        <v>679710.14492753625</v>
      </c>
      <c r="D24" s="598">
        <f>+C24*D23</f>
        <v>47579.710144927543</v>
      </c>
      <c r="E24" s="598"/>
      <c r="F24" s="539" t="s">
        <v>379</v>
      </c>
      <c r="G24" s="598">
        <f>'Preferred OBC PV'!AT28-('Preferred OBC PV'!AA28+'Preferred OBC PV'!AR28+'Preferred OBC PV'!AS28)</f>
        <v>85416.229083525875</v>
      </c>
      <c r="H24" s="598">
        <f>G24*H23</f>
        <v>12385.353217111251</v>
      </c>
      <c r="I24" s="599"/>
      <c r="J24" s="598" t="s">
        <v>323</v>
      </c>
      <c r="K24" s="598">
        <f>'Preferred OBC PV'!AT29-('Preferred OBC PV'!AA29+'Preferred OBC PV'!AR29+'Preferred OBC PV'!AS29)</f>
        <v>11214255.217251318</v>
      </c>
      <c r="L24" s="598">
        <f>K24*L23</f>
        <v>2354993.5956227765</v>
      </c>
    </row>
    <row r="25" spans="1:12" x14ac:dyDescent="0.25">
      <c r="A25" s="578" t="s">
        <v>19</v>
      </c>
      <c r="C25" s="599"/>
      <c r="D25" s="599">
        <f>D24/'Preferred OBC PV'!C27</f>
        <v>49245.000000000007</v>
      </c>
      <c r="E25" s="600"/>
      <c r="F25" s="599"/>
      <c r="G25" s="599"/>
      <c r="H25" s="599">
        <f>H24/'Preferred OBC PV'!C28</f>
        <v>13267.499999999998</v>
      </c>
      <c r="I25" s="599"/>
      <c r="J25" s="599"/>
      <c r="K25" s="599"/>
      <c r="L25" s="599">
        <f>L24/'Preferred OBC PV'!C29</f>
        <v>2611023.4949774938</v>
      </c>
    </row>
    <row r="26" spans="1:12" x14ac:dyDescent="0.25">
      <c r="C26" s="599"/>
      <c r="D26" s="599"/>
      <c r="E26" s="600"/>
      <c r="F26" s="599"/>
      <c r="G26" s="599"/>
      <c r="H26" s="599"/>
      <c r="I26" s="599"/>
      <c r="J26" s="599"/>
      <c r="K26" s="599"/>
      <c r="L26" s="599"/>
    </row>
    <row r="27" spans="1:12" x14ac:dyDescent="0.25">
      <c r="B27" s="542" t="s">
        <v>380</v>
      </c>
      <c r="C27" s="601">
        <f>+H24+D24+L24</f>
        <v>2414958.6589848152</v>
      </c>
      <c r="D27" s="598"/>
      <c r="E27" s="598"/>
      <c r="F27" s="598"/>
      <c r="G27" s="598"/>
      <c r="H27" s="598"/>
      <c r="I27" s="599"/>
      <c r="J27" s="599"/>
      <c r="K27" s="599"/>
      <c r="L27" s="599"/>
    </row>
    <row r="28" spans="1:12" x14ac:dyDescent="0.25">
      <c r="B28" s="542" t="s">
        <v>381</v>
      </c>
      <c r="C28" s="601">
        <f>+H25+D25+L25</f>
        <v>2673535.9949774938</v>
      </c>
      <c r="D28" s="599"/>
      <c r="E28" s="600"/>
      <c r="F28" s="599"/>
      <c r="G28" s="599"/>
      <c r="H28" s="599"/>
      <c r="I28" s="599"/>
      <c r="J28" s="599"/>
      <c r="K28" s="599"/>
      <c r="L28" s="599"/>
    </row>
    <row r="29" spans="1:12" x14ac:dyDescent="0.25">
      <c r="C29" s="599"/>
      <c r="D29" s="599"/>
      <c r="E29" s="600"/>
      <c r="F29" s="599"/>
      <c r="G29" s="599"/>
      <c r="H29" s="599"/>
      <c r="I29" s="599"/>
      <c r="J29" s="599"/>
      <c r="K29" s="599"/>
      <c r="L29" s="599"/>
    </row>
    <row r="30" spans="1:12" x14ac:dyDescent="0.25">
      <c r="C30" s="599"/>
      <c r="D30" s="599"/>
      <c r="E30" s="600"/>
      <c r="F30" s="599"/>
      <c r="G30" s="599"/>
      <c r="H30" s="599"/>
      <c r="I30" s="599"/>
      <c r="J30" s="599"/>
      <c r="K30" s="599"/>
      <c r="L30" s="599"/>
    </row>
    <row r="31" spans="1:12" x14ac:dyDescent="0.25">
      <c r="B31" s="542" t="s">
        <v>324</v>
      </c>
      <c r="C31" s="543">
        <v>3060000</v>
      </c>
      <c r="D31" s="536"/>
      <c r="E31" s="536"/>
      <c r="F31" s="536"/>
      <c r="G31" s="536"/>
      <c r="H31" s="536"/>
    </row>
    <row r="32" spans="1:12" x14ac:dyDescent="0.25">
      <c r="B32" s="536"/>
      <c r="C32" s="540"/>
      <c r="D32" s="536"/>
      <c r="E32" s="536"/>
      <c r="F32" s="536"/>
      <c r="G32" s="536"/>
      <c r="H32" s="536"/>
    </row>
    <row r="33" spans="2:8" x14ac:dyDescent="0.25">
      <c r="B33" s="536" t="s">
        <v>325</v>
      </c>
      <c r="C33" s="604">
        <v>50000</v>
      </c>
      <c r="D33" s="598"/>
      <c r="E33" s="598"/>
      <c r="F33" s="536"/>
      <c r="G33" s="536"/>
      <c r="H33" s="536"/>
    </row>
    <row r="34" spans="2:8" x14ac:dyDescent="0.25">
      <c r="B34" s="536" t="s">
        <v>326</v>
      </c>
      <c r="C34" s="605">
        <f>+H6+H7+H8</f>
        <v>395000</v>
      </c>
      <c r="D34" s="598">
        <v>395000</v>
      </c>
      <c r="E34" s="598"/>
      <c r="F34" s="536"/>
      <c r="G34" s="536"/>
      <c r="H34" s="536"/>
    </row>
    <row r="35" spans="2:8" x14ac:dyDescent="0.25">
      <c r="B35" s="536" t="s">
        <v>3</v>
      </c>
      <c r="C35" s="604">
        <v>375000</v>
      </c>
      <c r="D35" s="598"/>
      <c r="E35" s="598"/>
      <c r="F35" s="536"/>
      <c r="G35" s="536"/>
      <c r="H35" s="536"/>
    </row>
    <row r="36" spans="2:8" x14ac:dyDescent="0.25">
      <c r="B36" s="536" t="s">
        <v>4</v>
      </c>
      <c r="C36" s="604">
        <f>+'Construction Costs_2022'!K128+'Construction Costs_2022'!K7</f>
        <v>12108570.21417854</v>
      </c>
      <c r="D36" s="598"/>
      <c r="E36" s="598"/>
      <c r="F36" s="536"/>
      <c r="G36" s="536"/>
      <c r="H36" s="536"/>
    </row>
    <row r="37" spans="2:8" x14ac:dyDescent="0.25">
      <c r="B37" s="536" t="s">
        <v>345</v>
      </c>
      <c r="C37" s="604">
        <f>H10</f>
        <v>267375</v>
      </c>
      <c r="D37" s="598"/>
      <c r="E37" s="599"/>
    </row>
    <row r="38" spans="2:8" x14ac:dyDescent="0.25">
      <c r="B38" s="536" t="s">
        <v>327</v>
      </c>
      <c r="C38" s="606">
        <v>45000</v>
      </c>
      <c r="D38" s="598">
        <f>+C43-5075000</f>
        <v>50587.45341185201</v>
      </c>
      <c r="E38" s="599">
        <f>+C31-D38</f>
        <v>3009412.546588148</v>
      </c>
    </row>
    <row r="39" spans="2:8" x14ac:dyDescent="0.25">
      <c r="B39" s="536"/>
      <c r="C39" s="607"/>
      <c r="D39" s="598"/>
      <c r="E39" s="599"/>
    </row>
    <row r="40" spans="2:8" x14ac:dyDescent="0.25">
      <c r="B40" s="542" t="s">
        <v>328</v>
      </c>
      <c r="C40" s="601">
        <f>SUM(C33:C39)</f>
        <v>13240945.21417854</v>
      </c>
      <c r="D40" s="598"/>
      <c r="E40" s="599"/>
    </row>
    <row r="41" spans="2:8" x14ac:dyDescent="0.25">
      <c r="C41" s="599"/>
      <c r="D41" s="599"/>
      <c r="E41" s="599"/>
    </row>
    <row r="42" spans="2:8" x14ac:dyDescent="0.25">
      <c r="B42" s="536" t="s">
        <v>329</v>
      </c>
      <c r="C42" s="608">
        <f>+C40*15.6%</f>
        <v>2065587.4534118522</v>
      </c>
      <c r="D42" s="598"/>
      <c r="E42" s="599"/>
    </row>
    <row r="43" spans="2:8" x14ac:dyDescent="0.25">
      <c r="B43" s="542" t="s">
        <v>330</v>
      </c>
      <c r="C43" s="601">
        <f>+C42+C31</f>
        <v>5125587.453411852</v>
      </c>
      <c r="D43" s="598"/>
      <c r="E43" s="599"/>
    </row>
    <row r="44" spans="2:8" x14ac:dyDescent="0.25">
      <c r="B44" s="536"/>
      <c r="C44" s="541"/>
      <c r="D44" s="536"/>
    </row>
    <row r="53" spans="1:4" s="122" customFormat="1" ht="14.45" customHeight="1" x14ac:dyDescent="0.25">
      <c r="A53" s="578"/>
    </row>
    <row r="55" spans="1:4" x14ac:dyDescent="0.25">
      <c r="D55" s="12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E13FB-E163-4DFD-BE3B-CB24EE39D53E}">
  <sheetPr codeName="Sheet10">
    <tabColor rgb="FF92D050"/>
  </sheetPr>
  <dimension ref="A2:AA52"/>
  <sheetViews>
    <sheetView zoomScale="40" zoomScaleNormal="40" workbookViewId="0">
      <selection activeCell="J37" sqref="J37:O37"/>
    </sheetView>
  </sheetViews>
  <sheetFormatPr defaultColWidth="9.140625" defaultRowHeight="12.75" x14ac:dyDescent="0.2"/>
  <cols>
    <col min="1" max="1" width="9.140625" style="293"/>
    <col min="2" max="2" width="14.85546875" style="293" customWidth="1"/>
    <col min="3" max="3" width="15.5703125" style="293" customWidth="1"/>
    <col min="4" max="4" width="19.42578125" style="293" customWidth="1"/>
    <col min="5" max="5" width="11.5703125" style="293" customWidth="1"/>
    <col min="6" max="6" width="12.42578125" style="293" customWidth="1"/>
    <col min="7" max="7" width="19.85546875" style="293" customWidth="1"/>
    <col min="8" max="11" width="9.140625" style="293"/>
    <col min="12" max="12" width="17.42578125" style="293" bestFit="1" customWidth="1"/>
    <col min="13" max="13" width="9.140625" style="293"/>
    <col min="14" max="14" width="10" style="293" bestFit="1" customWidth="1"/>
    <col min="15" max="15" width="11.5703125" style="293" bestFit="1" customWidth="1"/>
    <col min="16" max="17" width="9.140625" style="293"/>
    <col min="18" max="18" width="15.42578125" style="293" bestFit="1" customWidth="1"/>
    <col min="19" max="16384" width="9.140625" style="293"/>
  </cols>
  <sheetData>
    <row r="2" spans="1:27" ht="32.450000000000003" customHeight="1" x14ac:dyDescent="0.2">
      <c r="A2" s="704" t="s">
        <v>232</v>
      </c>
      <c r="B2" s="705"/>
      <c r="C2" s="705"/>
      <c r="D2" s="705"/>
      <c r="E2" s="705"/>
      <c r="F2" s="705"/>
      <c r="G2" s="705"/>
      <c r="H2" s="705"/>
      <c r="I2" s="705"/>
      <c r="J2" s="705"/>
      <c r="K2" s="705"/>
      <c r="L2" s="437"/>
      <c r="M2" s="437"/>
      <c r="N2" s="437"/>
      <c r="O2" s="437"/>
      <c r="P2" s="437"/>
      <c r="Q2" s="437"/>
      <c r="R2" s="437"/>
      <c r="S2" s="437"/>
      <c r="T2" s="437"/>
      <c r="U2" s="437"/>
      <c r="V2" s="437"/>
      <c r="W2" s="437"/>
      <c r="X2" s="437"/>
      <c r="Y2" s="437"/>
      <c r="Z2" s="437"/>
      <c r="AA2" s="437"/>
    </row>
    <row r="4" spans="1:27" x14ac:dyDescent="0.2">
      <c r="B4" s="293" t="s">
        <v>249</v>
      </c>
      <c r="I4" s="293" t="s">
        <v>250</v>
      </c>
    </row>
    <row r="6" spans="1:27" ht="15" x14ac:dyDescent="0.25">
      <c r="B6" s="703" t="s">
        <v>233</v>
      </c>
      <c r="C6" s="703"/>
      <c r="D6" s="703"/>
      <c r="E6" s="703"/>
      <c r="F6" s="703"/>
      <c r="G6" s="703"/>
      <c r="J6" s="703" t="s">
        <v>233</v>
      </c>
      <c r="K6" s="703"/>
      <c r="L6" s="703"/>
      <c r="M6" s="703"/>
      <c r="N6" s="703"/>
      <c r="O6" s="703"/>
    </row>
    <row r="7" spans="1:27" ht="15" x14ac:dyDescent="0.25">
      <c r="B7" s="438" t="s">
        <v>241</v>
      </c>
      <c r="C7" s="438"/>
      <c r="D7" s="438"/>
      <c r="E7" s="439"/>
      <c r="F7" s="439"/>
      <c r="G7" s="439"/>
      <c r="J7" s="438" t="s">
        <v>241</v>
      </c>
      <c r="K7" s="438"/>
      <c r="L7" s="438"/>
      <c r="M7" s="439"/>
      <c r="N7" s="439"/>
      <c r="O7" s="439"/>
    </row>
    <row r="8" spans="1:27" ht="15" x14ac:dyDescent="0.25">
      <c r="B8" s="438" t="s">
        <v>224</v>
      </c>
      <c r="J8" s="438" t="s">
        <v>224</v>
      </c>
    </row>
    <row r="9" spans="1:27" ht="15" x14ac:dyDescent="0.25">
      <c r="B9" s="702" t="s">
        <v>251</v>
      </c>
      <c r="C9" s="702"/>
      <c r="D9" s="702"/>
      <c r="E9" s="702"/>
      <c r="F9" s="702"/>
      <c r="G9" s="702"/>
      <c r="J9" s="702" t="s">
        <v>251</v>
      </c>
      <c r="K9" s="702"/>
      <c r="L9" s="702"/>
      <c r="M9" s="702"/>
      <c r="N9" s="702"/>
      <c r="O9" s="702"/>
      <c r="Q9" s="702" t="s">
        <v>252</v>
      </c>
      <c r="R9" s="702"/>
      <c r="S9" s="702"/>
      <c r="T9" s="702"/>
      <c r="U9" s="702"/>
      <c r="V9" s="702"/>
    </row>
    <row r="10" spans="1:27" ht="30" x14ac:dyDescent="0.2">
      <c r="B10" s="440" t="s">
        <v>229</v>
      </c>
      <c r="C10" s="440" t="s">
        <v>207</v>
      </c>
      <c r="D10" s="440" t="s">
        <v>234</v>
      </c>
      <c r="E10" s="440" t="s">
        <v>188</v>
      </c>
      <c r="F10" s="440" t="s">
        <v>189</v>
      </c>
      <c r="G10" s="440" t="s">
        <v>190</v>
      </c>
      <c r="J10" s="440" t="s">
        <v>229</v>
      </c>
      <c r="K10" s="440" t="s">
        <v>207</v>
      </c>
      <c r="L10" s="440" t="s">
        <v>234</v>
      </c>
      <c r="M10" s="440" t="s">
        <v>188</v>
      </c>
      <c r="N10" s="440" t="s">
        <v>189</v>
      </c>
      <c r="O10" s="440" t="s">
        <v>190</v>
      </c>
      <c r="Q10" s="440" t="s">
        <v>253</v>
      </c>
      <c r="R10" s="440" t="s">
        <v>189</v>
      </c>
    </row>
    <row r="11" spans="1:27" ht="15" x14ac:dyDescent="0.25">
      <c r="A11" s="293" t="s">
        <v>230</v>
      </c>
      <c r="B11" s="441">
        <v>2</v>
      </c>
      <c r="C11" s="441">
        <v>468</v>
      </c>
      <c r="D11" s="442">
        <f>B11*C11</f>
        <v>936</v>
      </c>
      <c r="E11" s="443">
        <v>865</v>
      </c>
      <c r="F11" s="416">
        <f>D11*E11</f>
        <v>809640</v>
      </c>
      <c r="G11" s="696">
        <f>SUM(F11:F14)</f>
        <v>1619280</v>
      </c>
      <c r="I11" s="293" t="s">
        <v>230</v>
      </c>
      <c r="J11" s="441">
        <v>2</v>
      </c>
      <c r="K11" s="441">
        <f>C11/2</f>
        <v>234</v>
      </c>
      <c r="L11" s="442">
        <f>J11*K11</f>
        <v>468</v>
      </c>
      <c r="M11" s="443">
        <v>865</v>
      </c>
      <c r="N11" s="416">
        <f>L11*M11</f>
        <v>404820</v>
      </c>
      <c r="O11" s="696">
        <f>SUM(N11:N14)+R11+R15</f>
        <v>1476774</v>
      </c>
      <c r="Q11" s="153">
        <v>2000</v>
      </c>
      <c r="R11" s="444">
        <f>Q11*K11</f>
        <v>468000</v>
      </c>
    </row>
    <row r="12" spans="1:27" ht="15" x14ac:dyDescent="0.25">
      <c r="A12" s="293" t="s">
        <v>231</v>
      </c>
      <c r="B12" s="441">
        <v>2</v>
      </c>
      <c r="C12" s="441">
        <f>C11</f>
        <v>468</v>
      </c>
      <c r="D12" s="442">
        <f>B12*C12</f>
        <v>936</v>
      </c>
      <c r="E12" s="443">
        <v>865</v>
      </c>
      <c r="F12" s="416">
        <f t="shared" ref="F12" si="0">D12*E12</f>
        <v>809640</v>
      </c>
      <c r="G12" s="696"/>
      <c r="I12" s="293" t="s">
        <v>231</v>
      </c>
      <c r="J12" s="441">
        <v>2</v>
      </c>
      <c r="K12" s="441">
        <f>K11</f>
        <v>234</v>
      </c>
      <c r="L12" s="442">
        <f>J12*K12</f>
        <v>468</v>
      </c>
      <c r="M12" s="443">
        <v>865</v>
      </c>
      <c r="N12" s="416">
        <f>L12*M12</f>
        <v>404820</v>
      </c>
      <c r="O12" s="696"/>
    </row>
    <row r="13" spans="1:27" ht="15" x14ac:dyDescent="0.25">
      <c r="D13" s="445"/>
      <c r="F13" s="371"/>
      <c r="G13" s="696"/>
      <c r="I13" s="293" t="s">
        <v>254</v>
      </c>
      <c r="J13" s="446">
        <v>2.2999999999999998</v>
      </c>
      <c r="K13" s="293">
        <v>468</v>
      </c>
      <c r="L13" s="445"/>
      <c r="N13" s="371"/>
      <c r="O13" s="696"/>
      <c r="Q13" s="702" t="s">
        <v>255</v>
      </c>
      <c r="R13" s="702"/>
      <c r="S13" s="702"/>
      <c r="T13" s="702"/>
      <c r="U13" s="702"/>
      <c r="V13" s="702"/>
    </row>
    <row r="14" spans="1:27" ht="30" x14ac:dyDescent="0.25">
      <c r="D14" s="445"/>
      <c r="F14" s="371"/>
      <c r="G14" s="696"/>
      <c r="L14" s="445"/>
      <c r="N14" s="371"/>
      <c r="O14" s="696"/>
      <c r="Q14" s="440" t="s">
        <v>256</v>
      </c>
      <c r="R14" s="440" t="s">
        <v>189</v>
      </c>
    </row>
    <row r="15" spans="1:27" ht="15" x14ac:dyDescent="0.25">
      <c r="D15" s="445"/>
      <c r="F15" s="371"/>
      <c r="G15" s="447"/>
      <c r="L15" s="445"/>
      <c r="N15" s="371"/>
      <c r="O15" s="447"/>
      <c r="Q15" s="153">
        <v>185</v>
      </c>
      <c r="R15" s="444">
        <f>Q15*(J13*K13)</f>
        <v>199133.99999999997</v>
      </c>
    </row>
    <row r="16" spans="1:27" ht="15" x14ac:dyDescent="0.25">
      <c r="B16" s="702" t="s">
        <v>186</v>
      </c>
      <c r="C16" s="702"/>
      <c r="D16" s="702"/>
      <c r="E16" s="702"/>
      <c r="F16" s="702"/>
      <c r="G16" s="702"/>
      <c r="J16" s="702" t="s">
        <v>186</v>
      </c>
      <c r="K16" s="702"/>
      <c r="L16" s="702"/>
      <c r="M16" s="702"/>
      <c r="N16" s="702"/>
      <c r="O16" s="702"/>
    </row>
    <row r="17" spans="1:22" ht="60" x14ac:dyDescent="0.2">
      <c r="B17" s="440" t="s">
        <v>257</v>
      </c>
      <c r="C17" s="440" t="s">
        <v>207</v>
      </c>
      <c r="D17" s="448" t="s">
        <v>258</v>
      </c>
      <c r="E17" s="440" t="s">
        <v>259</v>
      </c>
      <c r="F17" s="440" t="s">
        <v>189</v>
      </c>
      <c r="G17" s="440" t="s">
        <v>190</v>
      </c>
      <c r="I17" s="449" t="s">
        <v>260</v>
      </c>
      <c r="J17" s="440" t="s">
        <v>257</v>
      </c>
      <c r="K17" s="440" t="s">
        <v>261</v>
      </c>
      <c r="L17" s="448" t="s">
        <v>258</v>
      </c>
      <c r="M17" s="440" t="s">
        <v>259</v>
      </c>
      <c r="N17" s="440" t="s">
        <v>189</v>
      </c>
      <c r="O17" s="440" t="s">
        <v>190</v>
      </c>
    </row>
    <row r="18" spans="1:22" ht="15" x14ac:dyDescent="0.25">
      <c r="B18" s="450">
        <f>0.3*1.5+0.4*1.5</f>
        <v>1.05</v>
      </c>
      <c r="C18" s="441">
        <f>C11</f>
        <v>468</v>
      </c>
      <c r="D18" s="442">
        <f>B18*C18</f>
        <v>491.40000000000003</v>
      </c>
      <c r="E18" s="441">
        <v>320</v>
      </c>
      <c r="F18" s="389">
        <f>E18*D18</f>
        <v>157248</v>
      </c>
      <c r="G18" s="395">
        <f>F18</f>
        <v>157248</v>
      </c>
      <c r="I18" s="295">
        <f>J18-0.3</f>
        <v>0.75</v>
      </c>
      <c r="J18" s="450">
        <f>0.3*1.5+0.4*1.5</f>
        <v>1.05</v>
      </c>
      <c r="K18" s="441">
        <f>K12</f>
        <v>234</v>
      </c>
      <c r="L18" s="442">
        <f>K18*J18+K18*I18</f>
        <v>421.20000000000005</v>
      </c>
      <c r="M18" s="441">
        <v>320</v>
      </c>
      <c r="N18" s="389">
        <f>M18*L18</f>
        <v>134784</v>
      </c>
      <c r="O18" s="395">
        <f>N18</f>
        <v>134784</v>
      </c>
    </row>
    <row r="20" spans="1:22" ht="15" x14ac:dyDescent="0.25">
      <c r="B20" s="703" t="s">
        <v>221</v>
      </c>
      <c r="C20" s="703"/>
      <c r="D20" s="703"/>
      <c r="E20" s="703"/>
      <c r="F20" s="703"/>
      <c r="G20" s="703"/>
      <c r="J20" s="703" t="s">
        <v>221</v>
      </c>
      <c r="K20" s="703"/>
      <c r="L20" s="703"/>
      <c r="M20" s="703"/>
      <c r="N20" s="703"/>
      <c r="O20" s="703"/>
    </row>
    <row r="21" spans="1:22" ht="15" x14ac:dyDescent="0.25">
      <c r="B21" s="438" t="s">
        <v>242</v>
      </c>
      <c r="C21" s="438"/>
      <c r="D21" s="438"/>
      <c r="E21" s="439"/>
      <c r="F21" s="439"/>
      <c r="G21" s="439"/>
      <c r="J21" s="438" t="s">
        <v>242</v>
      </c>
      <c r="K21" s="438"/>
      <c r="L21" s="438"/>
      <c r="M21" s="439"/>
      <c r="N21" s="439"/>
      <c r="O21" s="439"/>
    </row>
    <row r="22" spans="1:22" ht="15" x14ac:dyDescent="0.25">
      <c r="B22" s="438" t="s">
        <v>225</v>
      </c>
      <c r="J22" s="438" t="s">
        <v>225</v>
      </c>
    </row>
    <row r="23" spans="1:22" ht="15" x14ac:dyDescent="0.25">
      <c r="B23" s="702" t="s">
        <v>182</v>
      </c>
      <c r="C23" s="702"/>
      <c r="D23" s="702"/>
      <c r="E23" s="702"/>
      <c r="F23" s="702"/>
      <c r="G23" s="702"/>
      <c r="J23" s="702" t="s">
        <v>182</v>
      </c>
      <c r="K23" s="702"/>
      <c r="L23" s="702"/>
      <c r="M23" s="702"/>
      <c r="N23" s="702"/>
      <c r="O23" s="702"/>
      <c r="Q23" s="702" t="s">
        <v>252</v>
      </c>
      <c r="R23" s="702"/>
      <c r="S23" s="702"/>
      <c r="T23" s="702"/>
      <c r="U23" s="702"/>
      <c r="V23" s="702"/>
    </row>
    <row r="24" spans="1:22" ht="30" x14ac:dyDescent="0.2">
      <c r="B24" s="440" t="s">
        <v>229</v>
      </c>
      <c r="C24" s="440" t="s">
        <v>207</v>
      </c>
      <c r="D24" s="440" t="s">
        <v>187</v>
      </c>
      <c r="E24" s="440" t="s">
        <v>188</v>
      </c>
      <c r="F24" s="440" t="s">
        <v>189</v>
      </c>
      <c r="G24" s="440" t="s">
        <v>190</v>
      </c>
      <c r="J24" s="440" t="s">
        <v>229</v>
      </c>
      <c r="K24" s="440" t="s">
        <v>207</v>
      </c>
      <c r="L24" s="440" t="s">
        <v>187</v>
      </c>
      <c r="M24" s="440" t="s">
        <v>188</v>
      </c>
      <c r="N24" s="440" t="s">
        <v>189</v>
      </c>
      <c r="O24" s="440" t="s">
        <v>190</v>
      </c>
      <c r="Q24" s="440" t="s">
        <v>253</v>
      </c>
      <c r="R24" s="440" t="s">
        <v>189</v>
      </c>
    </row>
    <row r="25" spans="1:22" ht="15" x14ac:dyDescent="0.25">
      <c r="A25" s="293" t="s">
        <v>230</v>
      </c>
      <c r="B25" s="441">
        <v>2.2999999999999998</v>
      </c>
      <c r="C25" s="441">
        <v>140</v>
      </c>
      <c r="D25" s="442">
        <f>B25*C25</f>
        <v>322</v>
      </c>
      <c r="E25" s="443">
        <v>865</v>
      </c>
      <c r="F25" s="416">
        <f>D25*E25</f>
        <v>278530</v>
      </c>
      <c r="G25" s="696">
        <f>SUM(F25:F28)</f>
        <v>557060</v>
      </c>
      <c r="I25" s="293" t="s">
        <v>230</v>
      </c>
      <c r="J25" s="441">
        <v>2.2999999999999998</v>
      </c>
      <c r="K25" s="441">
        <v>70</v>
      </c>
      <c r="L25" s="442">
        <f>J25*K25</f>
        <v>161</v>
      </c>
      <c r="M25" s="443">
        <v>865</v>
      </c>
      <c r="N25" s="416">
        <f>L25*M25</f>
        <v>139265</v>
      </c>
      <c r="O25" s="696">
        <f>SUM(N25:N28)+R25+R28</f>
        <v>478100</v>
      </c>
      <c r="Q25" s="153">
        <v>2000</v>
      </c>
      <c r="R25" s="444">
        <f>Q25*K25</f>
        <v>140000</v>
      </c>
    </row>
    <row r="26" spans="1:22" ht="15" x14ac:dyDescent="0.25">
      <c r="A26" s="293" t="s">
        <v>231</v>
      </c>
      <c r="B26" s="441">
        <v>2.2999999999999998</v>
      </c>
      <c r="C26" s="441">
        <f>C25</f>
        <v>140</v>
      </c>
      <c r="D26" s="442">
        <f>B26*C26</f>
        <v>322</v>
      </c>
      <c r="E26" s="443">
        <v>865</v>
      </c>
      <c r="F26" s="416">
        <f t="shared" ref="F26" si="1">D26*E26</f>
        <v>278530</v>
      </c>
      <c r="G26" s="696"/>
      <c r="I26" s="293" t="s">
        <v>231</v>
      </c>
      <c r="J26" s="441">
        <v>2.2999999999999998</v>
      </c>
      <c r="K26" s="441">
        <f>K25</f>
        <v>70</v>
      </c>
      <c r="L26" s="442">
        <f>J26*K26</f>
        <v>161</v>
      </c>
      <c r="M26" s="443">
        <v>865</v>
      </c>
      <c r="N26" s="416">
        <f t="shared" ref="N26" si="2">L26*M26</f>
        <v>139265</v>
      </c>
      <c r="O26" s="696"/>
      <c r="Q26" s="702" t="s">
        <v>255</v>
      </c>
      <c r="R26" s="702"/>
      <c r="S26" s="702"/>
      <c r="T26" s="702"/>
      <c r="U26" s="702"/>
      <c r="V26" s="702"/>
    </row>
    <row r="27" spans="1:22" ht="30" x14ac:dyDescent="0.25">
      <c r="D27" s="445"/>
      <c r="F27" s="371"/>
      <c r="G27" s="696"/>
      <c r="I27" s="293" t="s">
        <v>254</v>
      </c>
      <c r="J27" s="446">
        <v>2.2999999999999998</v>
      </c>
      <c r="K27" s="293">
        <v>140</v>
      </c>
      <c r="L27" s="445"/>
      <c r="N27" s="371"/>
      <c r="O27" s="696"/>
      <c r="Q27" s="440" t="s">
        <v>256</v>
      </c>
      <c r="R27" s="440" t="s">
        <v>189</v>
      </c>
    </row>
    <row r="28" spans="1:22" ht="15" x14ac:dyDescent="0.25">
      <c r="D28" s="445"/>
      <c r="F28" s="371"/>
      <c r="G28" s="696"/>
      <c r="L28" s="445"/>
      <c r="N28" s="371"/>
      <c r="O28" s="696"/>
      <c r="Q28" s="153">
        <v>185</v>
      </c>
      <c r="R28" s="444">
        <f>Q28*(J27*K27)</f>
        <v>59570</v>
      </c>
    </row>
    <row r="29" spans="1:22" ht="15" x14ac:dyDescent="0.25">
      <c r="B29" s="702" t="s">
        <v>186</v>
      </c>
      <c r="C29" s="702"/>
      <c r="D29" s="702"/>
      <c r="E29" s="702"/>
      <c r="F29" s="702"/>
      <c r="G29" s="702"/>
      <c r="J29" s="702" t="s">
        <v>186</v>
      </c>
      <c r="K29" s="702"/>
      <c r="L29" s="702"/>
      <c r="M29" s="702"/>
      <c r="N29" s="702"/>
      <c r="O29" s="702"/>
    </row>
    <row r="30" spans="1:22" ht="60" x14ac:dyDescent="0.2">
      <c r="B30" s="440" t="s">
        <v>191</v>
      </c>
      <c r="C30" s="440" t="s">
        <v>207</v>
      </c>
      <c r="D30" s="448" t="s">
        <v>193</v>
      </c>
      <c r="E30" s="440" t="s">
        <v>188</v>
      </c>
      <c r="F30" s="440" t="s">
        <v>189</v>
      </c>
      <c r="G30" s="440" t="s">
        <v>190</v>
      </c>
      <c r="I30" s="449" t="s">
        <v>260</v>
      </c>
      <c r="J30" s="440" t="s">
        <v>191</v>
      </c>
      <c r="K30" s="440" t="s">
        <v>207</v>
      </c>
      <c r="L30" s="448" t="s">
        <v>193</v>
      </c>
      <c r="M30" s="440" t="s">
        <v>188</v>
      </c>
      <c r="N30" s="440" t="s">
        <v>189</v>
      </c>
      <c r="O30" s="440" t="s">
        <v>190</v>
      </c>
    </row>
    <row r="31" spans="1:22" ht="15" x14ac:dyDescent="0.25">
      <c r="B31" s="450">
        <f>1.8*0.3+1.5*0.4</f>
        <v>1.1400000000000001</v>
      </c>
      <c r="C31" s="441">
        <f>C25</f>
        <v>140</v>
      </c>
      <c r="D31" s="442">
        <f>B31*C31</f>
        <v>159.60000000000002</v>
      </c>
      <c r="E31" s="441">
        <v>320</v>
      </c>
      <c r="F31" s="389">
        <f>E31*D31</f>
        <v>51072.000000000007</v>
      </c>
      <c r="G31" s="395">
        <f>F31</f>
        <v>51072.000000000007</v>
      </c>
      <c r="I31" s="295">
        <f>J31-0.3</f>
        <v>0.84000000000000008</v>
      </c>
      <c r="J31" s="450">
        <f>1.8*0.3+1.5*0.4</f>
        <v>1.1400000000000001</v>
      </c>
      <c r="K31" s="441">
        <v>70</v>
      </c>
      <c r="L31" s="442">
        <f>K31*J31+K31*I31</f>
        <v>138.60000000000002</v>
      </c>
      <c r="M31" s="441">
        <v>320</v>
      </c>
      <c r="N31" s="389">
        <f>M31*L31</f>
        <v>44352.000000000007</v>
      </c>
      <c r="O31" s="395">
        <f>N31</f>
        <v>44352.000000000007</v>
      </c>
    </row>
    <row r="34" spans="2:15" ht="15" x14ac:dyDescent="0.25">
      <c r="B34" s="703" t="s">
        <v>196</v>
      </c>
      <c r="C34" s="703"/>
      <c r="D34" s="703"/>
      <c r="E34" s="703"/>
      <c r="F34" s="703"/>
      <c r="G34" s="703"/>
      <c r="J34" s="703" t="s">
        <v>196</v>
      </c>
      <c r="K34" s="703"/>
      <c r="L34" s="703"/>
      <c r="M34" s="703"/>
      <c r="N34" s="703"/>
      <c r="O34" s="703"/>
    </row>
    <row r="35" spans="2:15" ht="15" x14ac:dyDescent="0.25">
      <c r="B35" s="706" t="s">
        <v>210</v>
      </c>
      <c r="C35" s="706"/>
      <c r="D35" s="706"/>
      <c r="E35" s="707" t="s">
        <v>226</v>
      </c>
      <c r="F35" s="707"/>
      <c r="G35" s="707"/>
      <c r="J35" s="706" t="s">
        <v>210</v>
      </c>
      <c r="K35" s="706"/>
      <c r="L35" s="706"/>
      <c r="M35" s="707" t="s">
        <v>226</v>
      </c>
      <c r="N35" s="707"/>
      <c r="O35" s="707"/>
    </row>
    <row r="36" spans="2:15" ht="15" x14ac:dyDescent="0.25">
      <c r="B36" s="706" t="s">
        <v>227</v>
      </c>
      <c r="C36" s="706"/>
      <c r="D36" s="706"/>
      <c r="E36" s="707"/>
      <c r="F36" s="707"/>
      <c r="G36" s="707"/>
      <c r="J36" s="706" t="s">
        <v>227</v>
      </c>
      <c r="K36" s="706"/>
      <c r="L36" s="706"/>
      <c r="M36" s="707"/>
      <c r="N36" s="707"/>
      <c r="O36" s="707"/>
    </row>
    <row r="37" spans="2:15" ht="29.1" customHeight="1" x14ac:dyDescent="0.25">
      <c r="B37" s="710" t="s">
        <v>228</v>
      </c>
      <c r="C37" s="710"/>
      <c r="D37" s="710"/>
      <c r="E37" s="710"/>
      <c r="F37" s="710"/>
      <c r="G37" s="710"/>
      <c r="J37" s="710" t="s">
        <v>228</v>
      </c>
      <c r="K37" s="710"/>
      <c r="L37" s="710"/>
      <c r="M37" s="710"/>
      <c r="N37" s="710"/>
      <c r="O37" s="710"/>
    </row>
    <row r="38" spans="2:15" ht="30" x14ac:dyDescent="0.2">
      <c r="B38" s="440" t="s">
        <v>191</v>
      </c>
      <c r="C38" s="440" t="s">
        <v>207</v>
      </c>
      <c r="D38" s="448" t="s">
        <v>193</v>
      </c>
      <c r="E38" s="440" t="s">
        <v>211</v>
      </c>
      <c r="F38" s="451" t="s">
        <v>189</v>
      </c>
      <c r="G38" s="451" t="s">
        <v>190</v>
      </c>
      <c r="J38" s="440" t="s">
        <v>191</v>
      </c>
      <c r="K38" s="440" t="s">
        <v>207</v>
      </c>
      <c r="L38" s="448" t="s">
        <v>193</v>
      </c>
      <c r="M38" s="440" t="s">
        <v>211</v>
      </c>
      <c r="N38" s="451" t="s">
        <v>189</v>
      </c>
      <c r="O38" s="451" t="s">
        <v>190</v>
      </c>
    </row>
    <row r="39" spans="2:15" ht="15" x14ac:dyDescent="0.25">
      <c r="B39" s="452">
        <f>2.45*0.4</f>
        <v>0.98000000000000009</v>
      </c>
      <c r="C39" s="434">
        <v>600</v>
      </c>
      <c r="D39" s="453">
        <f>B39*C39</f>
        <v>588</v>
      </c>
      <c r="E39" s="434">
        <v>40</v>
      </c>
      <c r="F39" s="389">
        <f>E39*D39</f>
        <v>23520</v>
      </c>
      <c r="G39" s="395">
        <f>F39</f>
        <v>23520</v>
      </c>
      <c r="J39" s="452">
        <f>2.45*0.4</f>
        <v>0.98000000000000009</v>
      </c>
      <c r="K39" s="434">
        <v>600</v>
      </c>
      <c r="L39" s="453">
        <f>J39*K39</f>
        <v>588</v>
      </c>
      <c r="M39" s="434">
        <v>40</v>
      </c>
      <c r="N39" s="389">
        <f>M39*L39</f>
        <v>23520</v>
      </c>
      <c r="O39" s="395">
        <f>N39</f>
        <v>23520</v>
      </c>
    </row>
    <row r="40" spans="2:15" ht="15" x14ac:dyDescent="0.25">
      <c r="B40" s="454"/>
      <c r="C40" s="435"/>
      <c r="D40" s="454"/>
      <c r="E40" s="435"/>
      <c r="F40" s="371"/>
      <c r="G40" s="455"/>
      <c r="J40" s="454"/>
      <c r="K40" s="435"/>
      <c r="L40" s="454"/>
      <c r="M40" s="435"/>
      <c r="N40" s="371"/>
      <c r="O40" s="455"/>
    </row>
    <row r="42" spans="2:15" ht="15" x14ac:dyDescent="0.25">
      <c r="B42" s="703" t="s">
        <v>235</v>
      </c>
      <c r="C42" s="703"/>
      <c r="D42" s="703"/>
      <c r="E42" s="703"/>
      <c r="F42" s="703"/>
      <c r="G42" s="703"/>
      <c r="J42" s="703" t="s">
        <v>235</v>
      </c>
      <c r="K42" s="703"/>
      <c r="L42" s="703"/>
      <c r="M42" s="703"/>
      <c r="N42" s="703"/>
      <c r="O42" s="703"/>
    </row>
    <row r="43" spans="2:15" ht="15" x14ac:dyDescent="0.25">
      <c r="B43" s="438" t="s">
        <v>237</v>
      </c>
      <c r="C43" s="438"/>
      <c r="D43" s="438"/>
      <c r="E43" s="456"/>
      <c r="F43" s="456"/>
      <c r="G43" s="456"/>
      <c r="J43" s="438" t="s">
        <v>237</v>
      </c>
      <c r="K43" s="438"/>
      <c r="L43" s="438"/>
      <c r="M43" s="456"/>
      <c r="N43" s="456"/>
      <c r="O43" s="456"/>
    </row>
    <row r="44" spans="2:15" ht="15" x14ac:dyDescent="0.25">
      <c r="B44" s="457" t="s">
        <v>236</v>
      </c>
      <c r="C44" s="457"/>
      <c r="D44" s="457"/>
      <c r="E44" s="456"/>
      <c r="F44" s="456"/>
      <c r="G44" s="456"/>
      <c r="J44" s="457" t="s">
        <v>236</v>
      </c>
      <c r="K44" s="457"/>
      <c r="L44" s="457"/>
      <c r="M44" s="456"/>
      <c r="N44" s="456"/>
      <c r="O44" s="456"/>
    </row>
    <row r="45" spans="2:15" ht="15" x14ac:dyDescent="0.25">
      <c r="B45" s="711"/>
      <c r="C45" s="711"/>
      <c r="D45" s="710"/>
      <c r="E45" s="710"/>
      <c r="F45" s="710"/>
      <c r="G45" s="710"/>
      <c r="J45" s="711"/>
      <c r="K45" s="711"/>
      <c r="L45" s="710"/>
      <c r="M45" s="710"/>
      <c r="N45" s="710"/>
      <c r="O45" s="710"/>
    </row>
    <row r="46" spans="2:15" ht="30" x14ac:dyDescent="0.2">
      <c r="B46" s="458"/>
      <c r="D46" s="440" t="s">
        <v>207</v>
      </c>
      <c r="E46" s="440" t="s">
        <v>211</v>
      </c>
      <c r="F46" s="451" t="s">
        <v>189</v>
      </c>
      <c r="G46" s="451" t="s">
        <v>190</v>
      </c>
      <c r="J46" s="458"/>
      <c r="L46" s="440" t="s">
        <v>207</v>
      </c>
      <c r="M46" s="440" t="s">
        <v>211</v>
      </c>
      <c r="N46" s="451" t="s">
        <v>189</v>
      </c>
      <c r="O46" s="451" t="s">
        <v>190</v>
      </c>
    </row>
    <row r="47" spans="2:15" ht="15" x14ac:dyDescent="0.25">
      <c r="B47" s="459"/>
      <c r="D47" s="434">
        <v>50</v>
      </c>
      <c r="E47" s="434">
        <v>1000</v>
      </c>
      <c r="F47" s="389">
        <f>E47*D47</f>
        <v>50000</v>
      </c>
      <c r="G47" s="395">
        <f>F47</f>
        <v>50000</v>
      </c>
      <c r="J47" s="459"/>
      <c r="L47" s="434">
        <v>50</v>
      </c>
      <c r="M47" s="434">
        <v>1000</v>
      </c>
      <c r="N47" s="389">
        <f>M47*L47</f>
        <v>50000</v>
      </c>
      <c r="O47" s="395">
        <f>N47</f>
        <v>50000</v>
      </c>
    </row>
    <row r="49" spans="1:12" ht="13.5" thickBot="1" x14ac:dyDescent="0.25"/>
    <row r="50" spans="1:12" ht="53.45" customHeight="1" thickBot="1" x14ac:dyDescent="0.25">
      <c r="A50" s="708" t="s">
        <v>262</v>
      </c>
      <c r="B50" s="709"/>
      <c r="C50" s="709"/>
      <c r="D50" s="460">
        <f>G11+G18+G25+G31+G39+G47</f>
        <v>2458180</v>
      </c>
      <c r="I50" s="708" t="s">
        <v>263</v>
      </c>
      <c r="J50" s="709"/>
      <c r="K50" s="709"/>
      <c r="L50" s="460">
        <f>O11+O18+O25+O31+O39+O47</f>
        <v>2207530</v>
      </c>
    </row>
    <row r="52" spans="1:12" x14ac:dyDescent="0.2">
      <c r="D52" s="461">
        <v>1673140</v>
      </c>
      <c r="L52" s="461">
        <v>1422490</v>
      </c>
    </row>
  </sheetData>
  <mergeCells count="37">
    <mergeCell ref="A50:C50"/>
    <mergeCell ref="I50:K50"/>
    <mergeCell ref="B37:G37"/>
    <mergeCell ref="J37:O37"/>
    <mergeCell ref="B42:G42"/>
    <mergeCell ref="J42:O42"/>
    <mergeCell ref="B45:G45"/>
    <mergeCell ref="J45:O45"/>
    <mergeCell ref="B29:G29"/>
    <mergeCell ref="J29:O29"/>
    <mergeCell ref="B34:G34"/>
    <mergeCell ref="J34:O34"/>
    <mergeCell ref="B35:D35"/>
    <mergeCell ref="E35:G36"/>
    <mergeCell ref="J35:L35"/>
    <mergeCell ref="M35:O36"/>
    <mergeCell ref="B36:D36"/>
    <mergeCell ref="J36:L36"/>
    <mergeCell ref="B23:G23"/>
    <mergeCell ref="J23:O23"/>
    <mergeCell ref="Q23:V23"/>
    <mergeCell ref="G25:G28"/>
    <mergeCell ref="O25:O28"/>
    <mergeCell ref="Q26:V26"/>
    <mergeCell ref="Q9:V9"/>
    <mergeCell ref="B20:G20"/>
    <mergeCell ref="J20:O20"/>
    <mergeCell ref="A2:K2"/>
    <mergeCell ref="B6:G6"/>
    <mergeCell ref="J6:O6"/>
    <mergeCell ref="B9:G9"/>
    <mergeCell ref="J9:O9"/>
    <mergeCell ref="G11:G14"/>
    <mergeCell ref="O11:O14"/>
    <mergeCell ref="Q13:V13"/>
    <mergeCell ref="B16:G16"/>
    <mergeCell ref="J16:O16"/>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92D050"/>
  </sheetPr>
  <dimension ref="B2:J22"/>
  <sheetViews>
    <sheetView topLeftCell="A12" zoomScaleNormal="100" workbookViewId="0">
      <selection activeCell="C14" sqref="C14:G14"/>
    </sheetView>
  </sheetViews>
  <sheetFormatPr defaultRowHeight="15" x14ac:dyDescent="0.25"/>
  <cols>
    <col min="2" max="2" width="12.85546875" customWidth="1"/>
    <col min="3" max="3" width="13.42578125" customWidth="1"/>
    <col min="4" max="4" width="10.5703125" customWidth="1"/>
    <col min="5" max="5" width="17.5703125" customWidth="1"/>
    <col min="6" max="6" width="15.140625" customWidth="1"/>
    <col min="7" max="7" width="45.5703125" customWidth="1"/>
    <col min="8" max="8" width="13.5703125" customWidth="1"/>
    <col min="10" max="10" width="9.5703125" bestFit="1" customWidth="1"/>
  </cols>
  <sheetData>
    <row r="2" spans="2:10" x14ac:dyDescent="0.25">
      <c r="B2" t="s">
        <v>93</v>
      </c>
    </row>
    <row r="3" spans="2:10" x14ac:dyDescent="0.25">
      <c r="B3" t="s">
        <v>95</v>
      </c>
    </row>
    <row r="5" spans="2:10" x14ac:dyDescent="0.25">
      <c r="B5" s="123" t="s">
        <v>87</v>
      </c>
    </row>
    <row r="6" spans="2:10" x14ac:dyDescent="0.25">
      <c r="B6" s="158"/>
      <c r="C6" s="158"/>
      <c r="D6" s="158"/>
      <c r="E6" s="158"/>
      <c r="F6" s="158"/>
      <c r="G6" s="158"/>
      <c r="H6" s="159"/>
    </row>
    <row r="7" spans="2:10" x14ac:dyDescent="0.25">
      <c r="B7" s="158" t="s">
        <v>85</v>
      </c>
      <c r="C7" s="712" t="s">
        <v>106</v>
      </c>
      <c r="D7" s="712"/>
      <c r="E7" s="712"/>
      <c r="F7" s="712"/>
      <c r="G7" s="712"/>
      <c r="H7" s="158"/>
    </row>
    <row r="8" spans="2:10" ht="30" x14ac:dyDescent="0.25">
      <c r="B8" s="158" t="s">
        <v>86</v>
      </c>
      <c r="C8" s="160">
        <v>20000</v>
      </c>
      <c r="D8" s="160">
        <v>20000</v>
      </c>
      <c r="E8" s="161">
        <f>35000*0.75</f>
        <v>26250</v>
      </c>
      <c r="F8" s="161">
        <f>35000</f>
        <v>35000</v>
      </c>
      <c r="G8" s="161">
        <f>35000</f>
        <v>35000</v>
      </c>
      <c r="H8" s="162" t="s">
        <v>102</v>
      </c>
      <c r="J8" s="122"/>
    </row>
    <row r="9" spans="2:10" x14ac:dyDescent="0.25">
      <c r="B9" s="14" t="s">
        <v>105</v>
      </c>
      <c r="C9" s="14"/>
      <c r="D9" s="14"/>
      <c r="E9" s="14"/>
      <c r="F9" s="14"/>
      <c r="G9" s="14"/>
      <c r="H9" s="14"/>
    </row>
    <row r="10" spans="2:10" x14ac:dyDescent="0.25">
      <c r="B10" s="163" t="s">
        <v>107</v>
      </c>
      <c r="C10" s="14"/>
      <c r="D10" s="14"/>
      <c r="E10" s="14"/>
      <c r="F10" s="14"/>
      <c r="G10" s="14"/>
      <c r="H10" s="14"/>
    </row>
    <row r="12" spans="2:10" x14ac:dyDescent="0.25">
      <c r="B12" s="123" t="s">
        <v>96</v>
      </c>
      <c r="C12" s="122"/>
      <c r="D12" s="122"/>
      <c r="E12" s="122"/>
      <c r="F12" s="122"/>
      <c r="G12" s="122"/>
    </row>
    <row r="13" spans="2:10" ht="30" x14ac:dyDescent="0.25">
      <c r="B13" s="158"/>
      <c r="C13" s="158" t="s">
        <v>88</v>
      </c>
      <c r="D13" s="158" t="s">
        <v>89</v>
      </c>
      <c r="E13" s="158" t="s">
        <v>90</v>
      </c>
      <c r="F13" s="158" t="s">
        <v>91</v>
      </c>
      <c r="G13" s="158" t="s">
        <v>92</v>
      </c>
      <c r="H13" s="159" t="s">
        <v>101</v>
      </c>
    </row>
    <row r="14" spans="2:10" ht="57" customHeight="1" x14ac:dyDescent="0.25">
      <c r="B14" s="158" t="s">
        <v>85</v>
      </c>
      <c r="C14" s="713" t="s">
        <v>108</v>
      </c>
      <c r="D14" s="713"/>
      <c r="E14" s="713"/>
      <c r="F14" s="713"/>
      <c r="G14" s="713"/>
      <c r="H14" s="158"/>
      <c r="I14" s="152"/>
    </row>
    <row r="15" spans="2:10" ht="93" customHeight="1" x14ac:dyDescent="0.25">
      <c r="B15" s="158" t="s">
        <v>86</v>
      </c>
      <c r="C15" s="714" t="s">
        <v>97</v>
      </c>
      <c r="D15" s="714"/>
      <c r="E15" s="162" t="s">
        <v>98</v>
      </c>
      <c r="F15" s="162" t="s">
        <v>98</v>
      </c>
      <c r="G15" s="162" t="s">
        <v>98</v>
      </c>
      <c r="H15" s="162" t="s">
        <v>103</v>
      </c>
    </row>
    <row r="16" spans="2:10" ht="57.75" customHeight="1" x14ac:dyDescent="0.25">
      <c r="B16" s="716" t="s">
        <v>109</v>
      </c>
      <c r="C16" s="716"/>
      <c r="D16" s="716"/>
      <c r="E16" s="716"/>
      <c r="F16" s="716"/>
      <c r="G16" s="716"/>
      <c r="H16" s="716"/>
    </row>
    <row r="19" spans="2:8" x14ac:dyDescent="0.25">
      <c r="B19" s="123" t="s">
        <v>94</v>
      </c>
      <c r="C19" s="122"/>
      <c r="D19" s="122"/>
      <c r="E19" s="122"/>
      <c r="F19" s="122"/>
      <c r="G19" s="122"/>
    </row>
    <row r="20" spans="2:8" ht="30" x14ac:dyDescent="0.25">
      <c r="B20" s="158"/>
      <c r="C20" s="158" t="s">
        <v>88</v>
      </c>
      <c r="D20" s="158" t="s">
        <v>89</v>
      </c>
      <c r="E20" s="158" t="s">
        <v>90</v>
      </c>
      <c r="F20" s="158" t="s">
        <v>91</v>
      </c>
      <c r="G20" s="158" t="s">
        <v>92</v>
      </c>
      <c r="H20" s="159" t="s">
        <v>101</v>
      </c>
    </row>
    <row r="21" spans="2:8" x14ac:dyDescent="0.25">
      <c r="B21" s="158" t="s">
        <v>85</v>
      </c>
      <c r="C21" s="712" t="s">
        <v>104</v>
      </c>
      <c r="D21" s="712"/>
      <c r="E21" s="712"/>
      <c r="F21" s="712"/>
      <c r="G21" s="712"/>
      <c r="H21" s="158"/>
    </row>
    <row r="22" spans="2:8" ht="34.5" customHeight="1" x14ac:dyDescent="0.25">
      <c r="B22" s="158" t="s">
        <v>86</v>
      </c>
      <c r="C22" s="714" t="s">
        <v>99</v>
      </c>
      <c r="D22" s="714"/>
      <c r="E22" s="715" t="s">
        <v>100</v>
      </c>
      <c r="F22" s="715"/>
      <c r="G22" s="715"/>
      <c r="H22" s="158" t="s">
        <v>110</v>
      </c>
    </row>
  </sheetData>
  <mergeCells count="7">
    <mergeCell ref="C7:G7"/>
    <mergeCell ref="C14:G14"/>
    <mergeCell ref="C15:D15"/>
    <mergeCell ref="C21:G21"/>
    <mergeCell ref="C22:D22"/>
    <mergeCell ref="E22:G22"/>
    <mergeCell ref="B16:H16"/>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92D050"/>
  </sheetPr>
  <dimension ref="A1:H102"/>
  <sheetViews>
    <sheetView zoomScale="85" zoomScaleNormal="85" workbookViewId="0">
      <selection activeCell="J18" sqref="J18"/>
    </sheetView>
  </sheetViews>
  <sheetFormatPr defaultColWidth="9.140625" defaultRowHeight="12.75" x14ac:dyDescent="0.2"/>
  <cols>
    <col min="1" max="1" width="9.140625" style="293"/>
    <col min="2" max="2" width="12.5703125" style="293" customWidth="1"/>
    <col min="3" max="3" width="17.42578125" style="293" customWidth="1"/>
    <col min="4" max="4" width="11.42578125" style="293" customWidth="1"/>
    <col min="5" max="5" width="12.5703125" style="293" customWidth="1"/>
    <col min="6" max="6" width="11.140625" style="293" customWidth="1"/>
    <col min="7" max="16384" width="9.140625" style="293"/>
  </cols>
  <sheetData>
    <row r="1" spans="1:8" ht="38.25" x14ac:dyDescent="0.2">
      <c r="A1" s="293" t="s">
        <v>132</v>
      </c>
      <c r="B1" s="294" t="s">
        <v>133</v>
      </c>
      <c r="C1" s="294" t="s">
        <v>134</v>
      </c>
      <c r="D1" s="294" t="s">
        <v>135</v>
      </c>
      <c r="E1" s="294" t="s">
        <v>136</v>
      </c>
      <c r="F1" s="294" t="s">
        <v>137</v>
      </c>
      <c r="G1" s="294" t="s">
        <v>138</v>
      </c>
      <c r="H1" s="294" t="s">
        <v>141</v>
      </c>
    </row>
    <row r="2" spans="1:8" x14ac:dyDescent="0.2">
      <c r="A2" s="293">
        <v>39</v>
      </c>
      <c r="B2" s="293">
        <v>3.1880000000000002</v>
      </c>
      <c r="C2" s="293" t="s">
        <v>116</v>
      </c>
      <c r="H2" s="293">
        <v>2</v>
      </c>
    </row>
    <row r="3" spans="1:8" x14ac:dyDescent="0.2">
      <c r="A3" s="293">
        <v>39.5</v>
      </c>
      <c r="B3" s="293">
        <v>2.786</v>
      </c>
      <c r="C3" s="301">
        <v>4.5999999999999996</v>
      </c>
      <c r="D3" s="293">
        <v>5</v>
      </c>
      <c r="E3" s="295">
        <f>D3+2*$H$2*(C3-B3)</f>
        <v>12.255999999999998</v>
      </c>
      <c r="F3" s="295">
        <f>((E3+D3)/2)*(C3-B3)</f>
        <v>15.651191999999996</v>
      </c>
      <c r="G3" s="295"/>
    </row>
    <row r="4" spans="1:8" x14ac:dyDescent="0.2">
      <c r="A4" s="293">
        <v>40</v>
      </c>
      <c r="B4" s="293">
        <v>2.4529999999999998</v>
      </c>
      <c r="C4" s="301">
        <v>4.5999999999999996</v>
      </c>
      <c r="D4" s="293">
        <v>5</v>
      </c>
      <c r="E4" s="295">
        <f t="shared" ref="E4:E53" si="0">D4+2*$H$2*(C4-B4)</f>
        <v>13.587999999999999</v>
      </c>
      <c r="F4" s="295">
        <f t="shared" ref="F4:F11" si="1">((E4+D4)/2)*(C4-B4)</f>
        <v>19.954218000000001</v>
      </c>
      <c r="G4" s="295">
        <f>((F4+F3)/2)*(A4-A3)</f>
        <v>8.9013524999999998</v>
      </c>
    </row>
    <row r="5" spans="1:8" x14ac:dyDescent="0.2">
      <c r="A5" s="293">
        <v>41</v>
      </c>
      <c r="B5" s="293">
        <v>1.9590000000000001</v>
      </c>
      <c r="C5" s="301">
        <v>4.5999999999999996</v>
      </c>
      <c r="D5" s="293">
        <v>5</v>
      </c>
      <c r="E5" s="295">
        <f t="shared" si="0"/>
        <v>15.563999999999998</v>
      </c>
      <c r="F5" s="295">
        <f t="shared" si="1"/>
        <v>27.154761999999995</v>
      </c>
      <c r="G5" s="295">
        <f t="shared" ref="G5:G53" si="2">((F5+F4)/2)*(A5-A4)</f>
        <v>23.554489999999998</v>
      </c>
    </row>
    <row r="6" spans="1:8" x14ac:dyDescent="0.2">
      <c r="A6" s="293">
        <v>42</v>
      </c>
      <c r="B6" s="293">
        <v>1.585</v>
      </c>
      <c r="C6" s="301">
        <v>4.5999999999999996</v>
      </c>
      <c r="D6" s="293">
        <v>5</v>
      </c>
      <c r="E6" s="295">
        <f t="shared" ref="E6" si="3">D6+2*$H$2*(C6-B6)</f>
        <v>17.059999999999999</v>
      </c>
      <c r="F6" s="295">
        <f t="shared" ref="F6" si="4">((E6+D6)/2)*(C6-B6)</f>
        <v>33.255449999999996</v>
      </c>
      <c r="G6" s="295">
        <f t="shared" ref="G6" si="5">((F6+F5)/2)*(A6-A5)</f>
        <v>30.205105999999994</v>
      </c>
    </row>
    <row r="7" spans="1:8" x14ac:dyDescent="0.2">
      <c r="A7" s="293">
        <v>43</v>
      </c>
      <c r="B7" s="293">
        <v>1.3680000000000001</v>
      </c>
      <c r="C7" s="301">
        <v>4.5999999999999996</v>
      </c>
      <c r="D7" s="293">
        <v>5</v>
      </c>
      <c r="E7" s="295">
        <f t="shared" si="0"/>
        <v>17.927999999999997</v>
      </c>
      <c r="F7" s="295">
        <f t="shared" si="1"/>
        <v>37.051647999999986</v>
      </c>
      <c r="G7" s="295">
        <f t="shared" si="2"/>
        <v>35.153548999999991</v>
      </c>
    </row>
    <row r="8" spans="1:8" x14ac:dyDescent="0.2">
      <c r="A8" s="293">
        <v>44</v>
      </c>
      <c r="B8" s="293">
        <v>1.2030000000000001</v>
      </c>
      <c r="C8" s="301">
        <v>4.5999999999999996</v>
      </c>
      <c r="D8" s="293">
        <v>5</v>
      </c>
      <c r="E8" s="295">
        <f t="shared" si="0"/>
        <v>18.587999999999997</v>
      </c>
      <c r="F8" s="295">
        <f t="shared" si="1"/>
        <v>40.06421799999999</v>
      </c>
      <c r="G8" s="295">
        <f t="shared" si="2"/>
        <v>38.557932999999991</v>
      </c>
    </row>
    <row r="9" spans="1:8" x14ac:dyDescent="0.2">
      <c r="A9" s="293">
        <v>45</v>
      </c>
      <c r="B9" s="293">
        <v>1.0609999999999999</v>
      </c>
      <c r="C9" s="301">
        <v>4.5999999999999996</v>
      </c>
      <c r="D9" s="293">
        <v>5</v>
      </c>
      <c r="E9" s="295">
        <f t="shared" si="0"/>
        <v>19.155999999999999</v>
      </c>
      <c r="F9" s="295">
        <f t="shared" si="1"/>
        <v>42.744041999999993</v>
      </c>
      <c r="G9" s="295">
        <f t="shared" si="2"/>
        <v>41.404129999999995</v>
      </c>
    </row>
    <row r="10" spans="1:8" x14ac:dyDescent="0.2">
      <c r="A10" s="293">
        <v>46</v>
      </c>
      <c r="B10" s="293">
        <v>0.91800000000000004</v>
      </c>
      <c r="C10" s="301">
        <v>4.5999999999999996</v>
      </c>
      <c r="D10" s="293">
        <v>5</v>
      </c>
      <c r="E10" s="295">
        <f t="shared" si="0"/>
        <v>19.727999999999998</v>
      </c>
      <c r="F10" s="295">
        <f t="shared" si="1"/>
        <v>45.524247999999993</v>
      </c>
      <c r="G10" s="295">
        <f t="shared" si="2"/>
        <v>44.13414499999999</v>
      </c>
    </row>
    <row r="11" spans="1:8" x14ac:dyDescent="0.2">
      <c r="A11" s="293">
        <v>47</v>
      </c>
      <c r="B11" s="293">
        <v>0.78500000000000003</v>
      </c>
      <c r="C11" s="301">
        <v>4.5999999999999996</v>
      </c>
      <c r="D11" s="293">
        <v>5</v>
      </c>
      <c r="E11" s="295">
        <f t="shared" si="0"/>
        <v>20.259999999999998</v>
      </c>
      <c r="F11" s="295">
        <f t="shared" si="1"/>
        <v>48.183449999999993</v>
      </c>
      <c r="G11" s="295">
        <f t="shared" si="2"/>
        <v>46.853848999999997</v>
      </c>
    </row>
    <row r="12" spans="1:8" x14ac:dyDescent="0.2">
      <c r="A12" s="293">
        <v>48</v>
      </c>
      <c r="B12" s="293">
        <v>0.64300000000000002</v>
      </c>
      <c r="C12" s="301">
        <v>4.4722222222222214</v>
      </c>
      <c r="D12" s="293">
        <v>5</v>
      </c>
      <c r="E12" s="295">
        <f t="shared" si="0"/>
        <v>20.316888888888887</v>
      </c>
      <c r="F12" s="295">
        <f t="shared" ref="F12:F53" si="6">((E12+D12)/2)*(C12-B12)</f>
        <v>48.471996765432088</v>
      </c>
      <c r="G12" s="295">
        <f t="shared" si="2"/>
        <v>48.327723382716044</v>
      </c>
    </row>
    <row r="13" spans="1:8" x14ac:dyDescent="0.2">
      <c r="A13" s="293">
        <v>49</v>
      </c>
      <c r="B13" s="293">
        <v>0.51600000000000001</v>
      </c>
      <c r="C13" s="301">
        <v>4.3444444444444432</v>
      </c>
      <c r="D13" s="293">
        <v>5</v>
      </c>
      <c r="E13" s="295">
        <f t="shared" si="0"/>
        <v>20.313777777777773</v>
      </c>
      <c r="F13" s="295">
        <f t="shared" si="6"/>
        <v>48.456195950617257</v>
      </c>
      <c r="G13" s="295">
        <f t="shared" si="2"/>
        <v>48.464096358024676</v>
      </c>
    </row>
    <row r="14" spans="1:8" x14ac:dyDescent="0.2">
      <c r="A14" s="293">
        <v>50</v>
      </c>
      <c r="B14" s="293">
        <v>0.39800000000000002</v>
      </c>
      <c r="C14" s="301">
        <v>4.216666666666665</v>
      </c>
      <c r="D14" s="293">
        <v>5</v>
      </c>
      <c r="E14" s="295">
        <f t="shared" si="0"/>
        <v>20.274666666666661</v>
      </c>
      <c r="F14" s="295">
        <f t="shared" si="6"/>
        <v>48.25776355555552</v>
      </c>
      <c r="G14" s="295">
        <f t="shared" si="2"/>
        <v>48.356979753086392</v>
      </c>
    </row>
    <row r="15" spans="1:8" x14ac:dyDescent="0.2">
      <c r="A15" s="293">
        <v>51</v>
      </c>
      <c r="B15" s="293">
        <v>0.25700000000000001</v>
      </c>
      <c r="C15" s="301">
        <v>4.0888888888888868</v>
      </c>
      <c r="D15" s="293">
        <v>5</v>
      </c>
      <c r="E15" s="295">
        <f t="shared" si="0"/>
        <v>20.327555555555548</v>
      </c>
      <c r="F15" s="295">
        <f t="shared" si="6"/>
        <v>48.526189358024652</v>
      </c>
      <c r="G15" s="295">
        <f t="shared" si="2"/>
        <v>48.39197645679009</v>
      </c>
    </row>
    <row r="16" spans="1:8" x14ac:dyDescent="0.2">
      <c r="A16" s="293">
        <v>52</v>
      </c>
      <c r="B16" s="293">
        <v>0.128</v>
      </c>
      <c r="C16" s="301">
        <v>3.961111111111109</v>
      </c>
      <c r="D16" s="293">
        <v>5</v>
      </c>
      <c r="E16" s="295">
        <f t="shared" si="0"/>
        <v>20.332444444444434</v>
      </c>
      <c r="F16" s="295">
        <f t="shared" si="6"/>
        <v>48.551037135802424</v>
      </c>
      <c r="G16" s="295">
        <f t="shared" si="2"/>
        <v>48.538613246913542</v>
      </c>
    </row>
    <row r="17" spans="1:7" x14ac:dyDescent="0.2">
      <c r="A17" s="293">
        <v>53</v>
      </c>
      <c r="B17" s="293">
        <v>2.3E-2</v>
      </c>
      <c r="C17" s="301">
        <v>3.8333333333333313</v>
      </c>
      <c r="D17" s="293">
        <v>5</v>
      </c>
      <c r="E17" s="295">
        <f t="shared" si="0"/>
        <v>20.241333333333323</v>
      </c>
      <c r="F17" s="295">
        <f t="shared" si="6"/>
        <v>48.088946888888842</v>
      </c>
      <c r="G17" s="295">
        <f t="shared" si="2"/>
        <v>48.319992012345637</v>
      </c>
    </row>
    <row r="18" spans="1:7" x14ac:dyDescent="0.2">
      <c r="A18" s="293">
        <v>54</v>
      </c>
      <c r="B18" s="293">
        <v>-8.5999999999999993E-2</v>
      </c>
      <c r="C18" s="301">
        <v>3.7055555555555535</v>
      </c>
      <c r="D18" s="293">
        <v>5</v>
      </c>
      <c r="E18" s="295">
        <f t="shared" si="0"/>
        <v>20.166222222222213</v>
      </c>
      <c r="F18" s="295">
        <f t="shared" si="6"/>
        <v>47.709564839506129</v>
      </c>
      <c r="G18" s="295">
        <f t="shared" si="2"/>
        <v>47.899255864197485</v>
      </c>
    </row>
    <row r="19" spans="1:7" x14ac:dyDescent="0.2">
      <c r="A19" s="293">
        <v>55</v>
      </c>
      <c r="B19" s="293">
        <v>-0.20499999999999999</v>
      </c>
      <c r="C19" s="301">
        <v>3.5777777777777757</v>
      </c>
      <c r="D19" s="293">
        <v>5</v>
      </c>
      <c r="E19" s="295">
        <f t="shared" si="0"/>
        <v>20.131111111111103</v>
      </c>
      <c r="F19" s="295">
        <f t="shared" si="6"/>
        <v>47.532704320987612</v>
      </c>
      <c r="G19" s="295">
        <f t="shared" si="2"/>
        <v>47.621134580246874</v>
      </c>
    </row>
    <row r="20" spans="1:7" x14ac:dyDescent="0.2">
      <c r="A20" s="293">
        <v>56</v>
      </c>
      <c r="B20" s="293">
        <v>-0.32500000000000001</v>
      </c>
      <c r="C20" s="301">
        <v>3.449999999999998</v>
      </c>
      <c r="D20" s="293">
        <v>5</v>
      </c>
      <c r="E20" s="295">
        <f t="shared" si="0"/>
        <v>20.099999999999994</v>
      </c>
      <c r="F20" s="295">
        <f t="shared" si="6"/>
        <v>47.376249999999963</v>
      </c>
      <c r="G20" s="295">
        <f t="shared" si="2"/>
        <v>47.454477160493788</v>
      </c>
    </row>
    <row r="21" spans="1:7" x14ac:dyDescent="0.2">
      <c r="A21" s="293">
        <v>57</v>
      </c>
      <c r="B21" s="293">
        <v>-0.436</v>
      </c>
      <c r="C21" s="301">
        <v>3.3222222222222202</v>
      </c>
      <c r="D21" s="293">
        <v>5</v>
      </c>
      <c r="E21" s="295">
        <f t="shared" si="0"/>
        <v>20.032888888888881</v>
      </c>
      <c r="F21" s="295">
        <f t="shared" si="6"/>
        <v>47.039579654320946</v>
      </c>
      <c r="G21" s="295">
        <f t="shared" si="2"/>
        <v>47.207914827160451</v>
      </c>
    </row>
    <row r="22" spans="1:7" x14ac:dyDescent="0.2">
      <c r="A22" s="293">
        <v>58</v>
      </c>
      <c r="B22" s="293">
        <v>-0.57399999999999995</v>
      </c>
      <c r="C22" s="301">
        <v>3.1944444444444424</v>
      </c>
      <c r="D22" s="293">
        <v>5</v>
      </c>
      <c r="E22" s="295">
        <f t="shared" si="0"/>
        <v>20.073777777777771</v>
      </c>
      <c r="F22" s="295">
        <f t="shared" si="6"/>
        <v>47.244569283950575</v>
      </c>
      <c r="G22" s="295">
        <f t="shared" si="2"/>
        <v>47.142074469135764</v>
      </c>
    </row>
    <row r="23" spans="1:7" x14ac:dyDescent="0.2">
      <c r="A23" s="293">
        <v>59</v>
      </c>
      <c r="B23" s="293">
        <v>-0.70799999999999996</v>
      </c>
      <c r="C23" s="301">
        <v>3.0666666666666647</v>
      </c>
      <c r="D23" s="293">
        <v>5</v>
      </c>
      <c r="E23" s="295">
        <f t="shared" si="0"/>
        <v>20.098666666666659</v>
      </c>
      <c r="F23" s="295">
        <f t="shared" si="6"/>
        <v>47.369550222222188</v>
      </c>
      <c r="G23" s="295">
        <f t="shared" si="2"/>
        <v>47.307059753086378</v>
      </c>
    </row>
    <row r="24" spans="1:7" x14ac:dyDescent="0.2">
      <c r="A24" s="293">
        <v>60</v>
      </c>
      <c r="B24" s="293">
        <v>-0.82199999999999995</v>
      </c>
      <c r="C24" s="301">
        <v>2.9388888888888869</v>
      </c>
      <c r="D24" s="293">
        <v>5</v>
      </c>
      <c r="E24" s="295">
        <f t="shared" si="0"/>
        <v>20.04355555555555</v>
      </c>
      <c r="F24" s="295">
        <f t="shared" si="6"/>
        <v>47.093014913580213</v>
      </c>
      <c r="G24" s="295">
        <f t="shared" si="2"/>
        <v>47.231282567901204</v>
      </c>
    </row>
    <row r="25" spans="1:7" x14ac:dyDescent="0.2">
      <c r="A25" s="293">
        <v>61</v>
      </c>
      <c r="B25" s="293">
        <v>-0.93500000000000005</v>
      </c>
      <c r="C25" s="301">
        <v>2.8111111111111091</v>
      </c>
      <c r="D25" s="293">
        <v>5</v>
      </c>
      <c r="E25" s="295">
        <f t="shared" si="0"/>
        <v>19.984444444444435</v>
      </c>
      <c r="F25" s="295">
        <f t="shared" si="6"/>
        <v>46.797252469135763</v>
      </c>
      <c r="G25" s="295">
        <f t="shared" si="2"/>
        <v>46.945133691357988</v>
      </c>
    </row>
    <row r="26" spans="1:7" x14ac:dyDescent="0.2">
      <c r="A26" s="293">
        <v>62</v>
      </c>
      <c r="B26" s="293">
        <v>-1.052</v>
      </c>
      <c r="C26" s="301">
        <v>2.6833333333333313</v>
      </c>
      <c r="D26" s="293">
        <v>5</v>
      </c>
      <c r="E26" s="295">
        <f t="shared" si="0"/>
        <v>19.941333333333326</v>
      </c>
      <c r="F26" s="295">
        <f t="shared" si="6"/>
        <v>46.582096888888849</v>
      </c>
      <c r="G26" s="295">
        <f t="shared" si="2"/>
        <v>46.689674679012306</v>
      </c>
    </row>
    <row r="27" spans="1:7" x14ac:dyDescent="0.2">
      <c r="A27" s="293">
        <v>63</v>
      </c>
      <c r="B27" s="293">
        <v>-1.1279999999999999</v>
      </c>
      <c r="C27" s="301">
        <v>2.5555555555555536</v>
      </c>
      <c r="D27" s="293">
        <v>5</v>
      </c>
      <c r="E27" s="295">
        <f t="shared" si="0"/>
        <v>19.734222222222215</v>
      </c>
      <c r="F27" s="295">
        <f t="shared" si="6"/>
        <v>45.554940839506138</v>
      </c>
      <c r="G27" s="295">
        <f t="shared" si="2"/>
        <v>46.068518864197493</v>
      </c>
    </row>
    <row r="28" spans="1:7" x14ac:dyDescent="0.2">
      <c r="A28" s="293">
        <v>64</v>
      </c>
      <c r="B28" s="293">
        <v>-1.2829999999999999</v>
      </c>
      <c r="C28" s="301">
        <v>2.4277777777777758</v>
      </c>
      <c r="D28" s="293">
        <v>5</v>
      </c>
      <c r="E28" s="295">
        <f t="shared" si="0"/>
        <v>19.843111111111103</v>
      </c>
      <c r="F28" s="295">
        <f t="shared" si="6"/>
        <v>46.093632320987616</v>
      </c>
      <c r="G28" s="295">
        <f t="shared" si="2"/>
        <v>45.824286580246877</v>
      </c>
    </row>
    <row r="29" spans="1:7" x14ac:dyDescent="0.2">
      <c r="A29" s="293">
        <v>65</v>
      </c>
      <c r="B29" s="293">
        <v>-1.3859999999999999</v>
      </c>
      <c r="C29" s="301">
        <v>2.299999999999998</v>
      </c>
      <c r="D29" s="293">
        <v>5</v>
      </c>
      <c r="E29" s="295">
        <f t="shared" si="0"/>
        <v>19.743999999999993</v>
      </c>
      <c r="F29" s="295">
        <f t="shared" si="6"/>
        <v>45.603191999999964</v>
      </c>
      <c r="G29" s="295">
        <f t="shared" si="2"/>
        <v>45.848412160493794</v>
      </c>
    </row>
    <row r="30" spans="1:7" x14ac:dyDescent="0.2">
      <c r="A30" s="293">
        <v>66</v>
      </c>
      <c r="B30" s="293">
        <v>-1.427</v>
      </c>
      <c r="C30" s="301">
        <v>2.1722222222222203</v>
      </c>
      <c r="D30" s="293">
        <v>5</v>
      </c>
      <c r="E30" s="295">
        <f t="shared" si="0"/>
        <v>19.396888888888881</v>
      </c>
      <c r="F30" s="295">
        <f t="shared" si="6"/>
        <v>43.90491232098762</v>
      </c>
      <c r="G30" s="295">
        <f t="shared" si="2"/>
        <v>44.754052160493792</v>
      </c>
    </row>
    <row r="31" spans="1:7" x14ac:dyDescent="0.2">
      <c r="A31" s="293">
        <v>67</v>
      </c>
      <c r="B31" s="293">
        <v>-1.4119999999999999</v>
      </c>
      <c r="C31" s="301">
        <v>2.0444444444444425</v>
      </c>
      <c r="D31" s="293">
        <v>5</v>
      </c>
      <c r="E31" s="295">
        <f t="shared" si="0"/>
        <v>18.82577777777777</v>
      </c>
      <c r="F31" s="295">
        <f t="shared" si="6"/>
        <v>41.176238617283914</v>
      </c>
      <c r="G31" s="295">
        <f t="shared" si="2"/>
        <v>42.540575469135767</v>
      </c>
    </row>
    <row r="32" spans="1:7" x14ac:dyDescent="0.2">
      <c r="A32" s="293">
        <v>68</v>
      </c>
      <c r="B32" s="293">
        <v>-1.421</v>
      </c>
      <c r="C32" s="301">
        <v>1.9166666666666647</v>
      </c>
      <c r="D32" s="293">
        <v>5</v>
      </c>
      <c r="E32" s="295">
        <f t="shared" si="0"/>
        <v>18.350666666666658</v>
      </c>
      <c r="F32" s="295">
        <f t="shared" si="6"/>
        <v>38.968370888888849</v>
      </c>
      <c r="G32" s="295">
        <f t="shared" si="2"/>
        <v>40.072304753086385</v>
      </c>
    </row>
    <row r="33" spans="1:7" x14ac:dyDescent="0.2">
      <c r="A33" s="293">
        <v>69</v>
      </c>
      <c r="B33" s="293">
        <v>-1.4419999999999999</v>
      </c>
      <c r="C33" s="301">
        <v>1.788888888888887</v>
      </c>
      <c r="D33" s="293">
        <v>5</v>
      </c>
      <c r="E33" s="295">
        <f t="shared" si="0"/>
        <v>17.923555555555549</v>
      </c>
      <c r="F33" s="295">
        <f t="shared" si="6"/>
        <v>37.031730469135773</v>
      </c>
      <c r="G33" s="295">
        <f t="shared" si="2"/>
        <v>38.000050679012311</v>
      </c>
    </row>
    <row r="34" spans="1:7" x14ac:dyDescent="0.2">
      <c r="A34" s="293">
        <v>70</v>
      </c>
      <c r="B34" s="293">
        <v>-1.456</v>
      </c>
      <c r="C34" s="301">
        <v>1.6611111111111092</v>
      </c>
      <c r="D34" s="293">
        <v>5</v>
      </c>
      <c r="E34" s="295">
        <f t="shared" si="0"/>
        <v>17.468444444444437</v>
      </c>
      <c r="F34" s="295">
        <f t="shared" si="6"/>
        <v>35.01831891358021</v>
      </c>
      <c r="G34" s="295">
        <f t="shared" si="2"/>
        <v>36.025024691357991</v>
      </c>
    </row>
    <row r="35" spans="1:7" x14ac:dyDescent="0.2">
      <c r="A35" s="293">
        <v>71</v>
      </c>
      <c r="B35" s="293">
        <v>-1.5</v>
      </c>
      <c r="C35" s="301">
        <v>1.5333333333333314</v>
      </c>
      <c r="D35" s="293">
        <v>5</v>
      </c>
      <c r="E35" s="295">
        <f t="shared" si="0"/>
        <v>17.133333333333326</v>
      </c>
      <c r="F35" s="295">
        <f t="shared" si="6"/>
        <v>33.568888888888857</v>
      </c>
      <c r="G35" s="295">
        <f t="shared" si="2"/>
        <v>34.293603901234533</v>
      </c>
    </row>
    <row r="36" spans="1:7" x14ac:dyDescent="0.2">
      <c r="A36" s="293">
        <v>72</v>
      </c>
      <c r="B36" s="293">
        <v>-1.5089999999999999</v>
      </c>
      <c r="C36" s="301">
        <v>1.4055555555555537</v>
      </c>
      <c r="D36" s="293">
        <v>5</v>
      </c>
      <c r="E36" s="295">
        <f t="shared" si="0"/>
        <v>16.658222222222214</v>
      </c>
      <c r="F36" s="295">
        <f t="shared" si="6"/>
        <v>31.56204595061725</v>
      </c>
      <c r="G36" s="295">
        <f t="shared" si="2"/>
        <v>32.565467419753055</v>
      </c>
    </row>
    <row r="37" spans="1:7" x14ac:dyDescent="0.2">
      <c r="A37" s="293">
        <v>73</v>
      </c>
      <c r="B37" s="293">
        <v>-1.56</v>
      </c>
      <c r="C37" s="301">
        <v>1.2777777777777759</v>
      </c>
      <c r="D37" s="293">
        <v>5</v>
      </c>
      <c r="E37" s="295">
        <f t="shared" si="0"/>
        <v>16.351111111111102</v>
      </c>
      <c r="F37" s="295">
        <f t="shared" si="6"/>
        <v>30.294854320987621</v>
      </c>
      <c r="G37" s="295">
        <f t="shared" si="2"/>
        <v>30.928450135802436</v>
      </c>
    </row>
    <row r="38" spans="1:7" x14ac:dyDescent="0.2">
      <c r="A38" s="293">
        <v>74</v>
      </c>
      <c r="B38" s="293">
        <v>-1.5740000000000001</v>
      </c>
      <c r="C38" s="301">
        <v>1.1499999999999981</v>
      </c>
      <c r="D38" s="293">
        <v>5</v>
      </c>
      <c r="E38" s="295">
        <f t="shared" si="0"/>
        <v>15.895999999999994</v>
      </c>
      <c r="F38" s="295">
        <f t="shared" si="6"/>
        <v>28.460351999999975</v>
      </c>
      <c r="G38" s="295">
        <f t="shared" si="2"/>
        <v>29.377603160493798</v>
      </c>
    </row>
    <row r="39" spans="1:7" x14ac:dyDescent="0.2">
      <c r="A39" s="293">
        <v>75</v>
      </c>
      <c r="B39" s="293">
        <v>-1.5860000000000001</v>
      </c>
      <c r="C39" s="301">
        <v>1.0222222222222204</v>
      </c>
      <c r="D39" s="293">
        <v>5</v>
      </c>
      <c r="E39" s="295">
        <f t="shared" si="0"/>
        <v>15.432888888888883</v>
      </c>
      <c r="F39" s="295">
        <f t="shared" si="6"/>
        <v>26.646757432098742</v>
      </c>
      <c r="G39" s="295">
        <f t="shared" si="2"/>
        <v>27.553554716049359</v>
      </c>
    </row>
    <row r="40" spans="1:7" x14ac:dyDescent="0.2">
      <c r="A40" s="293">
        <v>76</v>
      </c>
      <c r="B40" s="293">
        <v>-1.639</v>
      </c>
      <c r="C40" s="301">
        <v>0.8944444444444426</v>
      </c>
      <c r="D40" s="293">
        <v>5</v>
      </c>
      <c r="E40" s="295">
        <f t="shared" si="0"/>
        <v>15.13377777777777</v>
      </c>
      <c r="F40" s="295">
        <f t="shared" si="6"/>
        <v>25.503903728395031</v>
      </c>
      <c r="G40" s="295">
        <f t="shared" si="2"/>
        <v>26.075330580246884</v>
      </c>
    </row>
    <row r="41" spans="1:7" x14ac:dyDescent="0.2">
      <c r="A41" s="293">
        <v>77</v>
      </c>
      <c r="B41" s="293">
        <v>-1.665</v>
      </c>
      <c r="C41" s="301">
        <v>0.76666666666666483</v>
      </c>
      <c r="D41" s="293">
        <v>5</v>
      </c>
      <c r="E41" s="295">
        <f t="shared" si="0"/>
        <v>14.726666666666659</v>
      </c>
      <c r="F41" s="295">
        <f t="shared" si="6"/>
        <v>23.984338888888864</v>
      </c>
      <c r="G41" s="295">
        <f t="shared" si="2"/>
        <v>24.744121308641947</v>
      </c>
    </row>
    <row r="42" spans="1:7" x14ac:dyDescent="0.2">
      <c r="A42" s="293">
        <v>78</v>
      </c>
      <c r="B42" s="293">
        <v>-1.6859999999999999</v>
      </c>
      <c r="C42" s="301">
        <v>0.63888888888888706</v>
      </c>
      <c r="D42" s="293">
        <v>5</v>
      </c>
      <c r="E42" s="295">
        <f t="shared" si="0"/>
        <v>14.299555555555548</v>
      </c>
      <c r="F42" s="295">
        <f t="shared" si="6"/>
        <v>22.434661135802443</v>
      </c>
      <c r="G42" s="295">
        <f t="shared" si="2"/>
        <v>23.209500012345654</v>
      </c>
    </row>
    <row r="43" spans="1:7" x14ac:dyDescent="0.2">
      <c r="A43" s="293">
        <v>79</v>
      </c>
      <c r="B43" s="293">
        <v>-1.718</v>
      </c>
      <c r="C43" s="301">
        <v>0.5111111111111093</v>
      </c>
      <c r="D43" s="293">
        <v>5</v>
      </c>
      <c r="E43" s="295">
        <f t="shared" si="0"/>
        <v>13.916444444444437</v>
      </c>
      <c r="F43" s="295">
        <f t="shared" si="6"/>
        <v>21.083428246913556</v>
      </c>
      <c r="G43" s="295">
        <f t="shared" si="2"/>
        <v>21.759044691358</v>
      </c>
    </row>
    <row r="44" spans="1:7" x14ac:dyDescent="0.2">
      <c r="A44" s="293">
        <v>80</v>
      </c>
      <c r="B44" s="293">
        <v>-1.746</v>
      </c>
      <c r="C44" s="301">
        <v>0.38333333333333153</v>
      </c>
      <c r="D44" s="293">
        <v>5</v>
      </c>
      <c r="E44" s="295">
        <f t="shared" si="0"/>
        <v>13.517333333333326</v>
      </c>
      <c r="F44" s="295">
        <f t="shared" si="6"/>
        <v>19.714787555555532</v>
      </c>
      <c r="G44" s="295">
        <f t="shared" si="2"/>
        <v>20.399107901234544</v>
      </c>
    </row>
    <row r="45" spans="1:7" x14ac:dyDescent="0.2">
      <c r="A45" s="293">
        <v>81</v>
      </c>
      <c r="B45" s="293">
        <v>-1.7749999999999999</v>
      </c>
      <c r="C45" s="301">
        <v>0.25555555555555376</v>
      </c>
      <c r="D45" s="293">
        <v>5</v>
      </c>
      <c r="E45" s="295">
        <f t="shared" si="0"/>
        <v>13.122222222222215</v>
      </c>
      <c r="F45" s="295">
        <f t="shared" si="6"/>
        <v>18.399089506172814</v>
      </c>
      <c r="G45" s="295">
        <f t="shared" si="2"/>
        <v>19.056938530864173</v>
      </c>
    </row>
    <row r="46" spans="1:7" x14ac:dyDescent="0.2">
      <c r="A46" s="293">
        <v>82</v>
      </c>
      <c r="B46" s="293">
        <v>-1.8180000000000001</v>
      </c>
      <c r="C46" s="301">
        <v>0.12777777777777599</v>
      </c>
      <c r="D46" s="293">
        <v>5</v>
      </c>
      <c r="E46" s="295">
        <f t="shared" si="0"/>
        <v>12.783111111111104</v>
      </c>
      <c r="F46" s="295">
        <f t="shared" si="6"/>
        <v>17.300991209876521</v>
      </c>
      <c r="G46" s="295">
        <f t="shared" si="2"/>
        <v>17.850040358024668</v>
      </c>
    </row>
    <row r="47" spans="1:7" x14ac:dyDescent="0.2">
      <c r="A47" s="293">
        <v>83</v>
      </c>
      <c r="B47" s="293">
        <v>-1.86</v>
      </c>
      <c r="C47" s="301">
        <v>-1.7763568394002505E-15</v>
      </c>
      <c r="D47" s="293">
        <v>5</v>
      </c>
      <c r="E47" s="295">
        <f t="shared" si="0"/>
        <v>12.439999999999994</v>
      </c>
      <c r="F47" s="295">
        <f t="shared" si="6"/>
        <v>16.219199999999979</v>
      </c>
      <c r="G47" s="295">
        <f t="shared" si="2"/>
        <v>16.76009560493825</v>
      </c>
    </row>
    <row r="48" spans="1:7" x14ac:dyDescent="0.2">
      <c r="A48" s="293">
        <v>84</v>
      </c>
      <c r="B48" s="293">
        <v>-1.869</v>
      </c>
      <c r="C48" s="301">
        <v>0</v>
      </c>
      <c r="D48" s="293">
        <v>5</v>
      </c>
      <c r="E48" s="295">
        <f t="shared" si="0"/>
        <v>12.475999999999999</v>
      </c>
      <c r="F48" s="295">
        <f t="shared" si="6"/>
        <v>16.331322</v>
      </c>
      <c r="G48" s="295">
        <f t="shared" si="2"/>
        <v>16.27526099999999</v>
      </c>
    </row>
    <row r="49" spans="1:7" x14ac:dyDescent="0.2">
      <c r="A49" s="293">
        <v>85</v>
      </c>
      <c r="B49" s="293">
        <v>-1.8839999999999999</v>
      </c>
      <c r="C49" s="301">
        <v>-0.41820000000000002</v>
      </c>
      <c r="D49" s="293">
        <v>5</v>
      </c>
      <c r="E49" s="295">
        <f t="shared" si="0"/>
        <v>10.863199999999999</v>
      </c>
      <c r="F49" s="295">
        <f t="shared" si="6"/>
        <v>11.626139279999997</v>
      </c>
      <c r="G49" s="295">
        <f t="shared" si="2"/>
        <v>13.978730639999998</v>
      </c>
    </row>
    <row r="50" spans="1:7" x14ac:dyDescent="0.2">
      <c r="A50" s="293">
        <v>86</v>
      </c>
      <c r="B50" s="293">
        <v>-1.897</v>
      </c>
      <c r="C50" s="301">
        <v>-0.83640000000000003</v>
      </c>
      <c r="D50" s="293">
        <v>5</v>
      </c>
      <c r="E50" s="295">
        <f t="shared" si="0"/>
        <v>9.2423999999999999</v>
      </c>
      <c r="F50" s="295">
        <f t="shared" si="6"/>
        <v>7.5527447199999997</v>
      </c>
      <c r="G50" s="295">
        <f t="shared" si="2"/>
        <v>9.5894419999999982</v>
      </c>
    </row>
    <row r="51" spans="1:7" x14ac:dyDescent="0.2">
      <c r="A51" s="293">
        <v>87</v>
      </c>
      <c r="B51" s="293">
        <v>-1.9159999999999999</v>
      </c>
      <c r="C51" s="301">
        <v>-1.2545999999999999</v>
      </c>
      <c r="D51" s="293">
        <v>5</v>
      </c>
      <c r="E51" s="295">
        <f t="shared" si="0"/>
        <v>7.6456</v>
      </c>
      <c r="F51" s="295">
        <f t="shared" si="6"/>
        <v>4.1818999200000002</v>
      </c>
      <c r="G51" s="295">
        <f t="shared" si="2"/>
        <v>5.8673223199999995</v>
      </c>
    </row>
    <row r="52" spans="1:7" x14ac:dyDescent="0.2">
      <c r="A52" s="293">
        <v>88</v>
      </c>
      <c r="B52" s="293">
        <v>-1.956</v>
      </c>
      <c r="C52" s="301">
        <v>-1.6728000000000001</v>
      </c>
      <c r="D52" s="293">
        <v>5</v>
      </c>
      <c r="E52" s="295">
        <f t="shared" si="0"/>
        <v>6.1327999999999996</v>
      </c>
      <c r="F52" s="295">
        <f t="shared" si="6"/>
        <v>1.5764044799999994</v>
      </c>
      <c r="G52" s="295">
        <f t="shared" si="2"/>
        <v>2.8791522000000001</v>
      </c>
    </row>
    <row r="53" spans="1:7" x14ac:dyDescent="0.2">
      <c r="A53" s="293">
        <v>89</v>
      </c>
      <c r="B53" s="293">
        <v>-1.958</v>
      </c>
      <c r="C53" s="301">
        <v>-2.0910000000000002</v>
      </c>
      <c r="D53" s="293">
        <v>5</v>
      </c>
      <c r="E53" s="295">
        <f t="shared" si="0"/>
        <v>4.4679999999999991</v>
      </c>
      <c r="F53" s="295">
        <f t="shared" si="6"/>
        <v>-0.62962200000000113</v>
      </c>
      <c r="G53" s="295">
        <f t="shared" si="2"/>
        <v>0.47339123999999916</v>
      </c>
    </row>
    <row r="54" spans="1:7" x14ac:dyDescent="0.2">
      <c r="A54" s="293">
        <v>90</v>
      </c>
      <c r="B54" s="293">
        <v>-1.99</v>
      </c>
      <c r="C54" s="301"/>
      <c r="E54" s="295"/>
      <c r="F54" s="295"/>
      <c r="G54" s="295"/>
    </row>
    <row r="55" spans="1:7" x14ac:dyDescent="0.2">
      <c r="A55" s="293">
        <v>91</v>
      </c>
      <c r="B55" s="293">
        <v>-2.0249999999999999</v>
      </c>
      <c r="C55" s="301"/>
      <c r="E55" s="295"/>
      <c r="F55" s="295"/>
      <c r="G55" s="295"/>
    </row>
    <row r="56" spans="1:7" x14ac:dyDescent="0.2">
      <c r="A56" s="293">
        <v>92</v>
      </c>
      <c r="B56" s="293">
        <v>-2.048</v>
      </c>
      <c r="C56" s="301"/>
      <c r="E56" s="295"/>
      <c r="F56" s="295"/>
      <c r="G56" s="295"/>
    </row>
    <row r="57" spans="1:7" x14ac:dyDescent="0.2">
      <c r="A57" s="293">
        <v>93</v>
      </c>
      <c r="B57" s="293">
        <v>-2.08</v>
      </c>
      <c r="C57" s="296"/>
      <c r="E57" s="295"/>
      <c r="F57" s="295"/>
      <c r="G57" s="295"/>
    </row>
    <row r="58" spans="1:7" x14ac:dyDescent="0.2">
      <c r="A58" s="293">
        <v>94</v>
      </c>
      <c r="B58" s="293">
        <v>-2.1070000000000002</v>
      </c>
      <c r="C58" s="296"/>
      <c r="E58" s="295"/>
      <c r="F58" s="295"/>
      <c r="G58" s="295"/>
    </row>
    <row r="59" spans="1:7" x14ac:dyDescent="0.2">
      <c r="A59" s="293">
        <v>95</v>
      </c>
      <c r="B59" s="293">
        <v>-2.1070000000000002</v>
      </c>
      <c r="C59" s="296"/>
      <c r="E59" s="295"/>
      <c r="F59" s="295"/>
      <c r="G59" s="295"/>
    </row>
    <row r="60" spans="1:7" x14ac:dyDescent="0.2">
      <c r="A60" s="293">
        <v>96</v>
      </c>
      <c r="B60" s="293">
        <v>-2.1309999999999998</v>
      </c>
      <c r="C60" s="296"/>
      <c r="E60" s="295"/>
      <c r="F60" s="295"/>
      <c r="G60" s="295"/>
    </row>
    <row r="61" spans="1:7" x14ac:dyDescent="0.2">
      <c r="A61" s="293">
        <v>97</v>
      </c>
      <c r="B61" s="293">
        <v>-2.1579999999999999</v>
      </c>
      <c r="C61" s="296"/>
      <c r="E61" s="295"/>
      <c r="F61" s="295"/>
      <c r="G61" s="295"/>
    </row>
    <row r="62" spans="1:7" x14ac:dyDescent="0.2">
      <c r="A62" s="293">
        <v>98</v>
      </c>
      <c r="B62" s="293">
        <v>-2.1589999999999998</v>
      </c>
      <c r="C62" s="296"/>
      <c r="E62" s="295"/>
      <c r="F62" s="295"/>
      <c r="G62" s="295"/>
    </row>
    <row r="63" spans="1:7" x14ac:dyDescent="0.2">
      <c r="A63" s="293">
        <v>99</v>
      </c>
      <c r="B63" s="293">
        <v>-2.16</v>
      </c>
      <c r="C63" s="296"/>
      <c r="E63" s="295"/>
      <c r="F63" s="295"/>
      <c r="G63" s="295"/>
    </row>
    <row r="64" spans="1:7" x14ac:dyDescent="0.2">
      <c r="A64" s="293">
        <v>100</v>
      </c>
      <c r="B64" s="293">
        <v>-2.16</v>
      </c>
      <c r="C64" s="296"/>
      <c r="E64" s="295"/>
      <c r="F64" s="295"/>
      <c r="G64" s="295"/>
    </row>
    <row r="65" spans="1:7" x14ac:dyDescent="0.2">
      <c r="A65" s="293">
        <v>101</v>
      </c>
      <c r="B65" s="293">
        <v>-2.157</v>
      </c>
      <c r="C65" s="296"/>
      <c r="E65" s="295"/>
      <c r="F65" s="295"/>
      <c r="G65" s="295"/>
    </row>
    <row r="66" spans="1:7" x14ac:dyDescent="0.2">
      <c r="A66" s="293">
        <v>102</v>
      </c>
      <c r="B66" s="293">
        <v>-2.1539999999999999</v>
      </c>
      <c r="C66" s="296"/>
      <c r="E66" s="295"/>
      <c r="F66" s="295"/>
      <c r="G66" s="295"/>
    </row>
    <row r="67" spans="1:7" x14ac:dyDescent="0.2">
      <c r="A67" s="293">
        <v>103</v>
      </c>
      <c r="B67" s="293">
        <v>-2.1509999999999998</v>
      </c>
      <c r="C67" s="296"/>
      <c r="E67" s="295"/>
      <c r="F67" s="295"/>
      <c r="G67" s="295"/>
    </row>
    <row r="68" spans="1:7" x14ac:dyDescent="0.2">
      <c r="A68" s="293">
        <v>104</v>
      </c>
      <c r="B68" s="293">
        <v>-2.1480000000000001</v>
      </c>
      <c r="C68" s="296"/>
      <c r="E68" s="295"/>
      <c r="F68" s="295"/>
      <c r="G68" s="295"/>
    </row>
    <row r="69" spans="1:7" x14ac:dyDescent="0.2">
      <c r="A69" s="293">
        <v>105</v>
      </c>
      <c r="B69" s="293">
        <v>-2.145</v>
      </c>
      <c r="C69" s="296"/>
      <c r="E69" s="295"/>
      <c r="F69" s="295"/>
      <c r="G69" s="295"/>
    </row>
    <row r="70" spans="1:7" x14ac:dyDescent="0.2">
      <c r="A70" s="293">
        <v>106</v>
      </c>
      <c r="B70" s="293">
        <v>-2.1419999999999999</v>
      </c>
      <c r="C70" s="296"/>
      <c r="E70" s="295"/>
      <c r="F70" s="295"/>
      <c r="G70" s="295"/>
    </row>
    <row r="71" spans="1:7" x14ac:dyDescent="0.2">
      <c r="A71" s="293">
        <v>107</v>
      </c>
      <c r="B71" s="293">
        <v>-2.1389999999999998</v>
      </c>
      <c r="C71" s="296"/>
      <c r="E71" s="295"/>
      <c r="F71" s="295"/>
      <c r="G71" s="295"/>
    </row>
    <row r="72" spans="1:7" x14ac:dyDescent="0.2">
      <c r="A72" s="293">
        <v>108</v>
      </c>
      <c r="B72" s="293">
        <v>-2.1360000000000001</v>
      </c>
      <c r="C72" s="296"/>
      <c r="E72" s="295"/>
      <c r="F72" s="295"/>
      <c r="G72" s="295"/>
    </row>
    <row r="73" spans="1:7" x14ac:dyDescent="0.2">
      <c r="A73" s="293">
        <v>109</v>
      </c>
      <c r="B73" s="293">
        <v>-2.133</v>
      </c>
      <c r="C73" s="296"/>
      <c r="E73" s="295"/>
      <c r="F73" s="295"/>
      <c r="G73" s="295"/>
    </row>
    <row r="74" spans="1:7" x14ac:dyDescent="0.2">
      <c r="A74" s="293">
        <v>110</v>
      </c>
      <c r="B74" s="293">
        <v>-2.1280000000000001</v>
      </c>
      <c r="C74" s="296"/>
      <c r="E74" s="295"/>
      <c r="F74" s="295"/>
      <c r="G74" s="295"/>
    </row>
    <row r="75" spans="1:7" x14ac:dyDescent="0.2">
      <c r="A75" s="293">
        <v>111</v>
      </c>
      <c r="B75" s="293">
        <v>-2.1230000000000002</v>
      </c>
      <c r="C75" s="296"/>
      <c r="E75" s="295"/>
      <c r="F75" s="295"/>
      <c r="G75" s="295"/>
    </row>
    <row r="76" spans="1:7" x14ac:dyDescent="0.2">
      <c r="A76" s="293">
        <v>112</v>
      </c>
      <c r="B76" s="293">
        <v>-2.1179999999999999</v>
      </c>
      <c r="C76" s="296"/>
      <c r="E76" s="295"/>
      <c r="F76" s="295"/>
      <c r="G76" s="295"/>
    </row>
    <row r="77" spans="1:7" x14ac:dyDescent="0.2">
      <c r="A77" s="293">
        <v>113</v>
      </c>
      <c r="B77" s="293">
        <v>-2.113</v>
      </c>
      <c r="C77" s="296"/>
      <c r="E77" s="295"/>
      <c r="F77" s="295"/>
      <c r="G77" s="295"/>
    </row>
    <row r="78" spans="1:7" x14ac:dyDescent="0.2">
      <c r="A78" s="293">
        <v>114</v>
      </c>
      <c r="B78" s="293">
        <v>-2.1120000000000001</v>
      </c>
      <c r="C78" s="296"/>
      <c r="E78" s="295"/>
      <c r="F78" s="295"/>
      <c r="G78" s="295"/>
    </row>
    <row r="79" spans="1:7" x14ac:dyDescent="0.2">
      <c r="A79" s="293">
        <v>115</v>
      </c>
      <c r="B79" s="293">
        <v>-2.1110000000000002</v>
      </c>
      <c r="C79" s="296"/>
      <c r="E79" s="295"/>
      <c r="F79" s="295"/>
      <c r="G79" s="295"/>
    </row>
    <row r="80" spans="1:7" x14ac:dyDescent="0.2">
      <c r="A80" s="293">
        <v>116</v>
      </c>
      <c r="B80" s="293">
        <v>-2.11</v>
      </c>
      <c r="E80" s="295"/>
      <c r="F80" s="295"/>
      <c r="G80" s="295"/>
    </row>
    <row r="81" spans="1:7" x14ac:dyDescent="0.2">
      <c r="A81" s="293">
        <v>117</v>
      </c>
      <c r="B81" s="293">
        <v>-2.109</v>
      </c>
      <c r="E81" s="295"/>
      <c r="F81" s="295"/>
      <c r="G81" s="295"/>
    </row>
    <row r="82" spans="1:7" x14ac:dyDescent="0.2">
      <c r="A82" s="293">
        <v>118</v>
      </c>
      <c r="B82" s="293">
        <v>-2.1080000000000001</v>
      </c>
      <c r="E82" s="295"/>
      <c r="F82" s="295"/>
      <c r="G82" s="295"/>
    </row>
    <row r="83" spans="1:7" x14ac:dyDescent="0.2">
      <c r="A83" s="293">
        <v>119</v>
      </c>
      <c r="B83" s="293">
        <v>-2.1070000000000002</v>
      </c>
      <c r="E83" s="295"/>
      <c r="F83" s="295"/>
      <c r="G83" s="295"/>
    </row>
    <row r="84" spans="1:7" x14ac:dyDescent="0.2">
      <c r="A84" s="293">
        <v>120</v>
      </c>
      <c r="B84" s="293">
        <v>-2.1059999999999999</v>
      </c>
      <c r="E84" s="295"/>
      <c r="F84" s="295"/>
      <c r="G84" s="295"/>
    </row>
    <row r="85" spans="1:7" x14ac:dyDescent="0.2">
      <c r="A85" s="293">
        <v>121</v>
      </c>
      <c r="B85" s="293">
        <v>-2.105</v>
      </c>
      <c r="E85" s="295"/>
      <c r="F85" s="295"/>
      <c r="G85" s="295"/>
    </row>
    <row r="86" spans="1:7" x14ac:dyDescent="0.2">
      <c r="A86" s="293">
        <v>122</v>
      </c>
      <c r="B86" s="293">
        <v>-2.1040000000000001</v>
      </c>
      <c r="E86" s="295"/>
      <c r="F86" s="295"/>
      <c r="G86" s="295"/>
    </row>
    <row r="87" spans="1:7" x14ac:dyDescent="0.2">
      <c r="A87" s="293">
        <v>123</v>
      </c>
      <c r="B87" s="293">
        <v>-2.1030000000000002</v>
      </c>
      <c r="E87" s="295"/>
      <c r="F87" s="295"/>
      <c r="G87" s="295"/>
    </row>
    <row r="88" spans="1:7" x14ac:dyDescent="0.2">
      <c r="A88" s="293">
        <v>124</v>
      </c>
      <c r="B88" s="293">
        <v>-2.1019999999999999</v>
      </c>
      <c r="E88" s="295"/>
      <c r="F88" s="295"/>
      <c r="G88" s="295"/>
    </row>
    <row r="89" spans="1:7" x14ac:dyDescent="0.2">
      <c r="A89" s="293">
        <v>125</v>
      </c>
      <c r="B89" s="293">
        <v>-2.101</v>
      </c>
      <c r="E89" s="295"/>
      <c r="F89" s="295"/>
      <c r="G89" s="295"/>
    </row>
    <row r="90" spans="1:7" x14ac:dyDescent="0.2">
      <c r="A90" s="293">
        <v>126</v>
      </c>
      <c r="B90" s="293">
        <v>-2.1</v>
      </c>
      <c r="E90" s="295"/>
      <c r="F90" s="295"/>
      <c r="G90" s="295"/>
    </row>
    <row r="91" spans="1:7" x14ac:dyDescent="0.2">
      <c r="A91" s="293">
        <v>127</v>
      </c>
      <c r="B91" s="293">
        <v>-2.0990000000000002</v>
      </c>
      <c r="E91" s="295"/>
      <c r="F91" s="295"/>
      <c r="G91" s="295"/>
    </row>
    <row r="92" spans="1:7" x14ac:dyDescent="0.2">
      <c r="A92" s="293">
        <v>128</v>
      </c>
      <c r="B92" s="293">
        <v>-2.0979999999999999</v>
      </c>
      <c r="E92" s="295"/>
      <c r="F92" s="295"/>
      <c r="G92" s="295"/>
    </row>
    <row r="93" spans="1:7" x14ac:dyDescent="0.2">
      <c r="A93" s="293">
        <v>129</v>
      </c>
      <c r="B93" s="293">
        <v>-2.097</v>
      </c>
      <c r="E93" s="295"/>
      <c r="F93" s="295"/>
      <c r="G93" s="295"/>
    </row>
    <row r="94" spans="1:7" x14ac:dyDescent="0.2">
      <c r="A94" s="293">
        <v>130</v>
      </c>
      <c r="B94" s="293">
        <v>-2.0960000000000001</v>
      </c>
      <c r="E94" s="295"/>
      <c r="F94" s="295"/>
      <c r="G94" s="295"/>
    </row>
    <row r="95" spans="1:7" x14ac:dyDescent="0.2">
      <c r="A95" s="293">
        <v>131</v>
      </c>
      <c r="B95" s="293">
        <v>-2.0950000000000002</v>
      </c>
      <c r="E95" s="295"/>
      <c r="F95" s="295"/>
      <c r="G95" s="295"/>
    </row>
    <row r="96" spans="1:7" x14ac:dyDescent="0.2">
      <c r="A96" s="293">
        <v>132</v>
      </c>
      <c r="B96" s="293">
        <v>-2.0939999999999999</v>
      </c>
      <c r="E96" s="295"/>
      <c r="F96" s="295"/>
      <c r="G96" s="295"/>
    </row>
    <row r="97" spans="1:8" x14ac:dyDescent="0.2">
      <c r="A97" s="293">
        <v>133</v>
      </c>
      <c r="B97" s="293">
        <v>-2.093</v>
      </c>
      <c r="E97" s="295"/>
      <c r="F97" s="295"/>
      <c r="G97" s="295"/>
    </row>
    <row r="98" spans="1:8" x14ac:dyDescent="0.2">
      <c r="A98" s="293">
        <v>134</v>
      </c>
      <c r="B98" s="293">
        <v>-2.0920000000000001</v>
      </c>
      <c r="E98" s="295"/>
      <c r="F98" s="295"/>
      <c r="G98" s="295"/>
    </row>
    <row r="99" spans="1:8" x14ac:dyDescent="0.2">
      <c r="A99" s="293">
        <v>135</v>
      </c>
      <c r="B99" s="293">
        <v>-2.0910000000000002</v>
      </c>
      <c r="E99" s="295"/>
      <c r="F99" s="295"/>
      <c r="G99" s="295"/>
    </row>
    <row r="100" spans="1:8" x14ac:dyDescent="0.2">
      <c r="A100" s="293">
        <v>136</v>
      </c>
      <c r="B100" s="293">
        <v>-2.09</v>
      </c>
      <c r="E100" s="295"/>
      <c r="F100" s="295"/>
      <c r="G100" s="295"/>
    </row>
    <row r="101" spans="1:8" ht="13.5" thickBot="1" x14ac:dyDescent="0.25"/>
    <row r="102" spans="1:8" ht="13.5" thickBot="1" x14ac:dyDescent="0.25">
      <c r="E102" s="297"/>
      <c r="F102" s="298" t="s">
        <v>139</v>
      </c>
      <c r="G102" s="299">
        <f>SUM(G4:G100)</f>
        <v>1697.4313263814806</v>
      </c>
      <c r="H102" s="300" t="s">
        <v>6</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92D050"/>
  </sheetPr>
  <dimension ref="A1:H102"/>
  <sheetViews>
    <sheetView topLeftCell="D1" zoomScale="115" zoomScaleNormal="115" workbookViewId="0">
      <selection activeCell="J18" sqref="J18"/>
    </sheetView>
  </sheetViews>
  <sheetFormatPr defaultColWidth="9.140625" defaultRowHeight="12.75" x14ac:dyDescent="0.2"/>
  <cols>
    <col min="1" max="1" width="9.140625" style="293"/>
    <col min="2" max="2" width="12.5703125" style="293" customWidth="1"/>
    <col min="3" max="3" width="17.42578125" style="293" customWidth="1"/>
    <col min="4" max="4" width="11.42578125" style="293" customWidth="1"/>
    <col min="5" max="5" width="12.5703125" style="293" customWidth="1"/>
    <col min="6" max="6" width="11.140625" style="293" customWidth="1"/>
    <col min="7" max="16384" width="9.140625" style="293"/>
  </cols>
  <sheetData>
    <row r="1" spans="1:8" ht="38.25" x14ac:dyDescent="0.2">
      <c r="A1" s="293" t="s">
        <v>132</v>
      </c>
      <c r="B1" s="294" t="s">
        <v>133</v>
      </c>
      <c r="C1" s="294" t="s">
        <v>134</v>
      </c>
      <c r="D1" s="294" t="s">
        <v>135</v>
      </c>
      <c r="E1" s="294" t="s">
        <v>136</v>
      </c>
      <c r="F1" s="294" t="s">
        <v>137</v>
      </c>
      <c r="G1" s="294" t="s">
        <v>138</v>
      </c>
      <c r="H1" s="294" t="s">
        <v>141</v>
      </c>
    </row>
    <row r="2" spans="1:8" x14ac:dyDescent="0.2">
      <c r="A2" s="293">
        <v>39</v>
      </c>
      <c r="B2" s="293">
        <v>3.1880000000000002</v>
      </c>
      <c r="C2" s="293" t="s">
        <v>116</v>
      </c>
      <c r="H2" s="293">
        <v>2</v>
      </c>
    </row>
    <row r="3" spans="1:8" x14ac:dyDescent="0.2">
      <c r="A3" s="293">
        <v>39.5</v>
      </c>
      <c r="B3" s="293">
        <v>2.786</v>
      </c>
      <c r="C3" s="293">
        <v>2.786</v>
      </c>
      <c r="D3" s="293">
        <v>5</v>
      </c>
      <c r="E3" s="295">
        <f>D3+2*$H$2*(C3-B3)</f>
        <v>5</v>
      </c>
      <c r="F3" s="295">
        <f>((E3+D3)/2)*(C3-B3)</f>
        <v>0</v>
      </c>
      <c r="G3" s="295"/>
    </row>
    <row r="4" spans="1:8" x14ac:dyDescent="0.2">
      <c r="A4" s="293">
        <v>40</v>
      </c>
      <c r="B4" s="293">
        <v>2.4529999999999998</v>
      </c>
      <c r="C4" s="293">
        <v>3.01</v>
      </c>
      <c r="D4" s="293">
        <v>5</v>
      </c>
      <c r="E4" s="295">
        <f t="shared" ref="E4:E67" si="0">D4+2*$H$2*(C4-B4)</f>
        <v>7.2279999999999998</v>
      </c>
      <c r="F4" s="295">
        <f t="shared" ref="F4:F67" si="1">((E4+D4)/2)*(C4-B4)</f>
        <v>3.4054979999999997</v>
      </c>
      <c r="G4" s="295">
        <f>((F4+F3)/2)*(A4-A3)</f>
        <v>0.85137449999999992</v>
      </c>
    </row>
    <row r="5" spans="1:8" x14ac:dyDescent="0.2">
      <c r="A5" s="293">
        <v>41</v>
      </c>
      <c r="B5" s="293">
        <v>1.9590000000000001</v>
      </c>
      <c r="C5" s="293">
        <v>3.24</v>
      </c>
      <c r="D5" s="293">
        <v>5</v>
      </c>
      <c r="E5" s="295">
        <f t="shared" si="0"/>
        <v>10.124000000000001</v>
      </c>
      <c r="F5" s="295">
        <f t="shared" si="1"/>
        <v>9.6869220000000009</v>
      </c>
      <c r="G5" s="295">
        <f t="shared" ref="G5:G68" si="2">((F5+F4)/2)*(A5-A4)</f>
        <v>6.5462100000000003</v>
      </c>
    </row>
    <row r="6" spans="1:8" x14ac:dyDescent="0.2">
      <c r="A6" s="293">
        <v>42</v>
      </c>
      <c r="B6" s="293">
        <v>1.585</v>
      </c>
      <c r="C6" s="293">
        <v>3.47</v>
      </c>
      <c r="D6" s="293">
        <v>5</v>
      </c>
      <c r="E6" s="295">
        <f t="shared" ref="E6:E7" si="3">D6+2*$H$2*(C6-B6)</f>
        <v>12.540000000000001</v>
      </c>
      <c r="F6" s="295">
        <f t="shared" ref="F6:F7" si="4">((E6+D6)/2)*(C6-B6)</f>
        <v>16.53145</v>
      </c>
      <c r="G6" s="295">
        <f t="shared" ref="G6:G7" si="5">((F6+F5)/2)*(A6-A5)</f>
        <v>13.109186000000001</v>
      </c>
    </row>
    <row r="7" spans="1:8" x14ac:dyDescent="0.2">
      <c r="A7" s="293">
        <v>43</v>
      </c>
      <c r="B7" s="293">
        <v>1.3680000000000001</v>
      </c>
      <c r="C7" s="293">
        <v>3.7</v>
      </c>
      <c r="D7" s="293">
        <v>5</v>
      </c>
      <c r="E7" s="295">
        <f t="shared" si="3"/>
        <v>14.327999999999999</v>
      </c>
      <c r="F7" s="295">
        <f t="shared" si="4"/>
        <v>22.536447999999996</v>
      </c>
      <c r="G7" s="295">
        <f t="shared" si="5"/>
        <v>19.533949</v>
      </c>
    </row>
    <row r="8" spans="1:8" x14ac:dyDescent="0.2">
      <c r="A8" s="293">
        <v>44</v>
      </c>
      <c r="B8" s="293">
        <v>1.2030000000000001</v>
      </c>
      <c r="C8" s="293">
        <v>3.93</v>
      </c>
      <c r="D8" s="293">
        <v>5</v>
      </c>
      <c r="E8" s="295">
        <f t="shared" si="0"/>
        <v>15.908000000000001</v>
      </c>
      <c r="F8" s="295">
        <f t="shared" si="1"/>
        <v>28.508058000000005</v>
      </c>
      <c r="G8" s="295">
        <f t="shared" si="2"/>
        <v>25.522252999999999</v>
      </c>
    </row>
    <row r="9" spans="1:8" x14ac:dyDescent="0.2">
      <c r="A9" s="293">
        <v>45</v>
      </c>
      <c r="B9" s="293">
        <v>1.0609999999999999</v>
      </c>
      <c r="C9" s="293">
        <v>4.1500000000000004</v>
      </c>
      <c r="D9" s="293">
        <v>5</v>
      </c>
      <c r="E9" s="295">
        <f t="shared" si="0"/>
        <v>17.356000000000002</v>
      </c>
      <c r="F9" s="295">
        <f t="shared" si="1"/>
        <v>34.528842000000004</v>
      </c>
      <c r="G9" s="295">
        <f t="shared" si="2"/>
        <v>31.518450000000005</v>
      </c>
    </row>
    <row r="10" spans="1:8" x14ac:dyDescent="0.2">
      <c r="A10" s="293">
        <v>46</v>
      </c>
      <c r="B10" s="293">
        <v>0.91800000000000004</v>
      </c>
      <c r="C10" s="293">
        <v>4.38</v>
      </c>
      <c r="D10" s="293">
        <v>5</v>
      </c>
      <c r="E10" s="295">
        <f t="shared" si="0"/>
        <v>18.847999999999999</v>
      </c>
      <c r="F10" s="295">
        <f t="shared" si="1"/>
        <v>41.280887999999997</v>
      </c>
      <c r="G10" s="295">
        <f t="shared" si="2"/>
        <v>37.904865000000001</v>
      </c>
    </row>
    <row r="11" spans="1:8" x14ac:dyDescent="0.2">
      <c r="A11" s="293">
        <v>47</v>
      </c>
      <c r="B11" s="293">
        <v>0.78500000000000003</v>
      </c>
      <c r="C11" s="293">
        <v>4.5999999999999996</v>
      </c>
      <c r="D11" s="293">
        <v>5</v>
      </c>
      <c r="E11" s="295">
        <f t="shared" si="0"/>
        <v>20.259999999999998</v>
      </c>
      <c r="F11" s="295">
        <f t="shared" si="1"/>
        <v>48.183449999999993</v>
      </c>
      <c r="G11" s="295">
        <f t="shared" si="2"/>
        <v>44.732168999999999</v>
      </c>
    </row>
    <row r="12" spans="1:8" x14ac:dyDescent="0.2">
      <c r="A12" s="293">
        <v>48</v>
      </c>
      <c r="B12" s="293">
        <v>0.64300000000000002</v>
      </c>
      <c r="C12" s="293">
        <v>4.5999999999999996</v>
      </c>
      <c r="D12" s="293">
        <v>5</v>
      </c>
      <c r="E12" s="295">
        <f t="shared" si="0"/>
        <v>20.827999999999999</v>
      </c>
      <c r="F12" s="295">
        <f t="shared" si="1"/>
        <v>51.100697999999994</v>
      </c>
      <c r="G12" s="295">
        <f t="shared" si="2"/>
        <v>49.642073999999994</v>
      </c>
    </row>
    <row r="13" spans="1:8" x14ac:dyDescent="0.2">
      <c r="A13" s="293">
        <v>49</v>
      </c>
      <c r="B13" s="293">
        <v>0.51600000000000001</v>
      </c>
      <c r="C13" s="293">
        <v>4.5999999999999996</v>
      </c>
      <c r="D13" s="293">
        <v>5</v>
      </c>
      <c r="E13" s="295">
        <f t="shared" si="0"/>
        <v>21.335999999999999</v>
      </c>
      <c r="F13" s="295">
        <f t="shared" si="1"/>
        <v>53.778111999999993</v>
      </c>
      <c r="G13" s="295">
        <f t="shared" si="2"/>
        <v>52.439404999999994</v>
      </c>
    </row>
    <row r="14" spans="1:8" x14ac:dyDescent="0.2">
      <c r="A14" s="293">
        <v>50</v>
      </c>
      <c r="B14" s="293">
        <v>0.39800000000000002</v>
      </c>
      <c r="C14" s="293">
        <v>4.5999999999999996</v>
      </c>
      <c r="D14" s="293">
        <v>5</v>
      </c>
      <c r="E14" s="295">
        <f t="shared" si="0"/>
        <v>21.808</v>
      </c>
      <c r="F14" s="295">
        <f t="shared" si="1"/>
        <v>56.323608</v>
      </c>
      <c r="G14" s="295">
        <f t="shared" si="2"/>
        <v>55.05086</v>
      </c>
    </row>
    <row r="15" spans="1:8" x14ac:dyDescent="0.2">
      <c r="A15" s="293">
        <v>51</v>
      </c>
      <c r="B15" s="293">
        <v>0.25700000000000001</v>
      </c>
      <c r="C15" s="293">
        <v>4.5999999999999996</v>
      </c>
      <c r="D15" s="293">
        <v>5</v>
      </c>
      <c r="E15" s="295">
        <f t="shared" si="0"/>
        <v>22.372</v>
      </c>
      <c r="F15" s="295">
        <f t="shared" si="1"/>
        <v>59.438297999999996</v>
      </c>
      <c r="G15" s="295">
        <f t="shared" si="2"/>
        <v>57.880952999999998</v>
      </c>
    </row>
    <row r="16" spans="1:8" x14ac:dyDescent="0.2">
      <c r="A16" s="293">
        <v>52</v>
      </c>
      <c r="B16" s="293">
        <v>0.128</v>
      </c>
      <c r="C16" s="293">
        <v>4.5999999999999996</v>
      </c>
      <c r="D16" s="293">
        <v>5</v>
      </c>
      <c r="E16" s="295">
        <f t="shared" si="0"/>
        <v>22.887999999999998</v>
      </c>
      <c r="F16" s="295">
        <f t="shared" si="1"/>
        <v>62.357567999999986</v>
      </c>
      <c r="G16" s="295">
        <f t="shared" si="2"/>
        <v>60.897932999999995</v>
      </c>
    </row>
    <row r="17" spans="1:7" x14ac:dyDescent="0.2">
      <c r="A17" s="293">
        <v>53</v>
      </c>
      <c r="B17" s="293">
        <v>2.3E-2</v>
      </c>
      <c r="C17" s="293">
        <v>4.5999999999999996</v>
      </c>
      <c r="D17" s="293">
        <v>5</v>
      </c>
      <c r="E17" s="295">
        <f t="shared" si="0"/>
        <v>23.308</v>
      </c>
      <c r="F17" s="295">
        <f t="shared" si="1"/>
        <v>64.782858000000004</v>
      </c>
      <c r="G17" s="295">
        <f t="shared" si="2"/>
        <v>63.570212999999995</v>
      </c>
    </row>
    <row r="18" spans="1:7" x14ac:dyDescent="0.2">
      <c r="A18" s="293">
        <v>54</v>
      </c>
      <c r="B18" s="293">
        <v>-8.5999999999999993E-2</v>
      </c>
      <c r="C18" s="293">
        <v>4.5999999999999996</v>
      </c>
      <c r="D18" s="293">
        <v>5</v>
      </c>
      <c r="E18" s="295">
        <f t="shared" si="0"/>
        <v>23.744</v>
      </c>
      <c r="F18" s="295">
        <f t="shared" si="1"/>
        <v>67.347191999999993</v>
      </c>
      <c r="G18" s="295">
        <f t="shared" si="2"/>
        <v>66.065024999999991</v>
      </c>
    </row>
    <row r="19" spans="1:7" x14ac:dyDescent="0.2">
      <c r="A19" s="293">
        <v>55</v>
      </c>
      <c r="B19" s="293">
        <v>-0.20499999999999999</v>
      </c>
      <c r="C19" s="293">
        <v>4.5999999999999996</v>
      </c>
      <c r="D19" s="293">
        <v>5</v>
      </c>
      <c r="E19" s="295">
        <f t="shared" si="0"/>
        <v>24.22</v>
      </c>
      <c r="F19" s="295">
        <f t="shared" si="1"/>
        <v>70.201049999999995</v>
      </c>
      <c r="G19" s="295">
        <f t="shared" si="2"/>
        <v>68.774120999999994</v>
      </c>
    </row>
    <row r="20" spans="1:7" x14ac:dyDescent="0.2">
      <c r="A20" s="293">
        <v>56</v>
      </c>
      <c r="B20" s="293">
        <v>-0.32500000000000001</v>
      </c>
      <c r="C20" s="293">
        <v>4.5999999999999996</v>
      </c>
      <c r="D20" s="293">
        <v>5</v>
      </c>
      <c r="E20" s="295">
        <f t="shared" si="0"/>
        <v>24.7</v>
      </c>
      <c r="F20" s="295">
        <f t="shared" si="1"/>
        <v>73.13624999999999</v>
      </c>
      <c r="G20" s="295">
        <f t="shared" si="2"/>
        <v>71.668649999999985</v>
      </c>
    </row>
    <row r="21" spans="1:7" x14ac:dyDescent="0.2">
      <c r="A21" s="293">
        <v>57</v>
      </c>
      <c r="B21" s="293">
        <v>-0.436</v>
      </c>
      <c r="C21" s="293">
        <v>4.5999999999999996</v>
      </c>
      <c r="D21" s="293">
        <v>5</v>
      </c>
      <c r="E21" s="295">
        <f t="shared" si="0"/>
        <v>25.143999999999998</v>
      </c>
      <c r="F21" s="295">
        <f t="shared" si="1"/>
        <v>75.902591999999984</v>
      </c>
      <c r="G21" s="295">
        <f t="shared" si="2"/>
        <v>74.519420999999994</v>
      </c>
    </row>
    <row r="22" spans="1:7" x14ac:dyDescent="0.2">
      <c r="A22" s="293">
        <v>58</v>
      </c>
      <c r="B22" s="293">
        <v>-0.57399999999999995</v>
      </c>
      <c r="C22" s="293">
        <v>4.5999999999999996</v>
      </c>
      <c r="D22" s="293">
        <v>5</v>
      </c>
      <c r="E22" s="295">
        <f t="shared" si="0"/>
        <v>25.695999999999998</v>
      </c>
      <c r="F22" s="295">
        <f t="shared" si="1"/>
        <v>79.410551999999981</v>
      </c>
      <c r="G22" s="295">
        <f t="shared" si="2"/>
        <v>77.656571999999983</v>
      </c>
    </row>
    <row r="23" spans="1:7" x14ac:dyDescent="0.2">
      <c r="A23" s="293">
        <v>59</v>
      </c>
      <c r="B23" s="293">
        <v>-0.70799999999999996</v>
      </c>
      <c r="C23" s="293">
        <v>4.5999999999999996</v>
      </c>
      <c r="D23" s="293">
        <v>5</v>
      </c>
      <c r="E23" s="295">
        <f t="shared" si="0"/>
        <v>26.231999999999999</v>
      </c>
      <c r="F23" s="295">
        <f t="shared" si="1"/>
        <v>82.889727999999991</v>
      </c>
      <c r="G23" s="295">
        <f t="shared" si="2"/>
        <v>81.150139999999993</v>
      </c>
    </row>
    <row r="24" spans="1:7" x14ac:dyDescent="0.2">
      <c r="A24" s="293">
        <v>60</v>
      </c>
      <c r="B24" s="293">
        <v>-0.82199999999999995</v>
      </c>
      <c r="C24" s="293">
        <v>4.5999999999999996</v>
      </c>
      <c r="D24" s="293">
        <v>5</v>
      </c>
      <c r="E24" s="295">
        <f t="shared" si="0"/>
        <v>26.687999999999999</v>
      </c>
      <c r="F24" s="295">
        <f t="shared" si="1"/>
        <v>85.906167999999994</v>
      </c>
      <c r="G24" s="295">
        <f t="shared" si="2"/>
        <v>84.397947999999985</v>
      </c>
    </row>
    <row r="25" spans="1:7" x14ac:dyDescent="0.2">
      <c r="A25" s="293">
        <v>61</v>
      </c>
      <c r="B25" s="293">
        <v>-0.93500000000000005</v>
      </c>
      <c r="C25" s="293">
        <v>4.5999999999999996</v>
      </c>
      <c r="D25" s="293">
        <v>5</v>
      </c>
      <c r="E25" s="295">
        <f t="shared" si="0"/>
        <v>27.14</v>
      </c>
      <c r="F25" s="295">
        <f t="shared" si="1"/>
        <v>88.947450000000003</v>
      </c>
      <c r="G25" s="295">
        <f t="shared" si="2"/>
        <v>87.426808999999992</v>
      </c>
    </row>
    <row r="26" spans="1:7" x14ac:dyDescent="0.2">
      <c r="A26" s="293">
        <v>62</v>
      </c>
      <c r="B26" s="293">
        <v>-1.052</v>
      </c>
      <c r="C26" s="293">
        <v>4.5999999999999996</v>
      </c>
      <c r="D26" s="293">
        <v>5</v>
      </c>
      <c r="E26" s="295">
        <f t="shared" si="0"/>
        <v>27.607999999999997</v>
      </c>
      <c r="F26" s="295">
        <f t="shared" si="1"/>
        <v>92.150207999999978</v>
      </c>
      <c r="G26" s="295">
        <f t="shared" si="2"/>
        <v>90.548828999999984</v>
      </c>
    </row>
    <row r="27" spans="1:7" x14ac:dyDescent="0.2">
      <c r="A27" s="293">
        <v>63</v>
      </c>
      <c r="B27" s="293">
        <v>-1.1279999999999999</v>
      </c>
      <c r="C27" s="293">
        <v>4.5999999999999996</v>
      </c>
      <c r="D27" s="293">
        <v>5</v>
      </c>
      <c r="E27" s="295">
        <f t="shared" si="0"/>
        <v>27.911999999999999</v>
      </c>
      <c r="F27" s="295">
        <f t="shared" si="1"/>
        <v>94.259967999999986</v>
      </c>
      <c r="G27" s="295">
        <f t="shared" si="2"/>
        <v>93.205087999999989</v>
      </c>
    </row>
    <row r="28" spans="1:7" x14ac:dyDescent="0.2">
      <c r="A28" s="293">
        <v>64</v>
      </c>
      <c r="B28" s="293">
        <v>-1.2829999999999999</v>
      </c>
      <c r="C28" s="293">
        <v>4.5999999999999996</v>
      </c>
      <c r="D28" s="293">
        <v>5</v>
      </c>
      <c r="E28" s="295">
        <f t="shared" si="0"/>
        <v>28.531999999999996</v>
      </c>
      <c r="F28" s="295">
        <f t="shared" si="1"/>
        <v>98.63437799999997</v>
      </c>
      <c r="G28" s="295">
        <f t="shared" si="2"/>
        <v>96.447172999999978</v>
      </c>
    </row>
    <row r="29" spans="1:7" x14ac:dyDescent="0.2">
      <c r="A29" s="293">
        <v>65</v>
      </c>
      <c r="B29" s="293">
        <v>-1.3859999999999999</v>
      </c>
      <c r="C29" s="293">
        <v>4.5999999999999996</v>
      </c>
      <c r="D29" s="293">
        <v>5</v>
      </c>
      <c r="E29" s="295">
        <f t="shared" si="0"/>
        <v>28.943999999999999</v>
      </c>
      <c r="F29" s="295">
        <f t="shared" si="1"/>
        <v>101.594392</v>
      </c>
      <c r="G29" s="295">
        <f t="shared" si="2"/>
        <v>100.11438499999998</v>
      </c>
    </row>
    <row r="30" spans="1:7" x14ac:dyDescent="0.2">
      <c r="A30" s="293">
        <v>66</v>
      </c>
      <c r="B30" s="293">
        <v>-1.427</v>
      </c>
      <c r="C30" s="293">
        <v>4.5999999999999996</v>
      </c>
      <c r="D30" s="293">
        <v>5</v>
      </c>
      <c r="E30" s="295">
        <f t="shared" si="0"/>
        <v>29.107999999999997</v>
      </c>
      <c r="F30" s="295">
        <f t="shared" si="1"/>
        <v>102.78445799999997</v>
      </c>
      <c r="G30" s="295">
        <f t="shared" si="2"/>
        <v>102.18942499999999</v>
      </c>
    </row>
    <row r="31" spans="1:7" x14ac:dyDescent="0.2">
      <c r="A31" s="293">
        <v>67</v>
      </c>
      <c r="B31" s="293">
        <v>-1.4119999999999999</v>
      </c>
      <c r="C31" s="293">
        <v>4.5999999999999996</v>
      </c>
      <c r="D31" s="293">
        <v>5</v>
      </c>
      <c r="E31" s="295">
        <f t="shared" si="0"/>
        <v>29.047999999999998</v>
      </c>
      <c r="F31" s="295">
        <f t="shared" si="1"/>
        <v>102.348288</v>
      </c>
      <c r="G31" s="295">
        <f t="shared" si="2"/>
        <v>102.56637299999998</v>
      </c>
    </row>
    <row r="32" spans="1:7" x14ac:dyDescent="0.2">
      <c r="A32" s="293">
        <v>68</v>
      </c>
      <c r="B32" s="293">
        <v>-1.421</v>
      </c>
      <c r="C32" s="293">
        <v>4.5999999999999996</v>
      </c>
      <c r="D32" s="293">
        <v>5</v>
      </c>
      <c r="E32" s="295">
        <f t="shared" si="0"/>
        <v>29.084</v>
      </c>
      <c r="F32" s="295">
        <f t="shared" si="1"/>
        <v>102.60988200000001</v>
      </c>
      <c r="G32" s="295">
        <f t="shared" si="2"/>
        <v>102.479085</v>
      </c>
    </row>
    <row r="33" spans="1:7" x14ac:dyDescent="0.2">
      <c r="A33" s="293">
        <v>69</v>
      </c>
      <c r="B33" s="293">
        <v>-1.4419999999999999</v>
      </c>
      <c r="C33" s="293">
        <v>4.5999999999999996</v>
      </c>
      <c r="D33" s="293">
        <v>5</v>
      </c>
      <c r="E33" s="295">
        <f t="shared" si="0"/>
        <v>29.167999999999999</v>
      </c>
      <c r="F33" s="295">
        <f t="shared" si="1"/>
        <v>103.22152799999999</v>
      </c>
      <c r="G33" s="295">
        <f t="shared" si="2"/>
        <v>102.915705</v>
      </c>
    </row>
    <row r="34" spans="1:7" x14ac:dyDescent="0.2">
      <c r="A34" s="293">
        <v>70</v>
      </c>
      <c r="B34" s="293">
        <v>-1.456</v>
      </c>
      <c r="C34" s="293">
        <v>4.5999999999999996</v>
      </c>
      <c r="D34" s="293">
        <v>5</v>
      </c>
      <c r="E34" s="295">
        <f t="shared" si="0"/>
        <v>29.223999999999997</v>
      </c>
      <c r="F34" s="295">
        <f t="shared" si="1"/>
        <v>103.63027199999998</v>
      </c>
      <c r="G34" s="295">
        <f t="shared" si="2"/>
        <v>103.42589999999998</v>
      </c>
    </row>
    <row r="35" spans="1:7" x14ac:dyDescent="0.2">
      <c r="A35" s="293">
        <v>71</v>
      </c>
      <c r="B35" s="293">
        <v>-1.5</v>
      </c>
      <c r="C35" s="293">
        <v>4.5999999999999996</v>
      </c>
      <c r="D35" s="293">
        <v>5</v>
      </c>
      <c r="E35" s="295">
        <f t="shared" si="0"/>
        <v>29.4</v>
      </c>
      <c r="F35" s="295">
        <f t="shared" si="1"/>
        <v>104.91999999999999</v>
      </c>
      <c r="G35" s="295">
        <f t="shared" si="2"/>
        <v>104.27513599999997</v>
      </c>
    </row>
    <row r="36" spans="1:7" x14ac:dyDescent="0.2">
      <c r="A36" s="293">
        <v>72</v>
      </c>
      <c r="B36" s="293">
        <v>-1.5089999999999999</v>
      </c>
      <c r="C36" s="293">
        <v>4.5999999999999996</v>
      </c>
      <c r="D36" s="293">
        <v>5</v>
      </c>
      <c r="E36" s="295">
        <f t="shared" si="0"/>
        <v>29.436</v>
      </c>
      <c r="F36" s="295">
        <f t="shared" si="1"/>
        <v>105.18476200000001</v>
      </c>
      <c r="G36" s="295">
        <f t="shared" si="2"/>
        <v>105.052381</v>
      </c>
    </row>
    <row r="37" spans="1:7" x14ac:dyDescent="0.2">
      <c r="A37" s="293">
        <v>73</v>
      </c>
      <c r="B37" s="293">
        <v>-1.56</v>
      </c>
      <c r="C37" s="293">
        <v>4.5999999999999996</v>
      </c>
      <c r="D37" s="293">
        <v>5</v>
      </c>
      <c r="E37" s="295">
        <f t="shared" si="0"/>
        <v>29.64</v>
      </c>
      <c r="F37" s="295">
        <f t="shared" si="1"/>
        <v>106.69120000000001</v>
      </c>
      <c r="G37" s="295">
        <f t="shared" si="2"/>
        <v>105.93798100000001</v>
      </c>
    </row>
    <row r="38" spans="1:7" x14ac:dyDescent="0.2">
      <c r="A38" s="293">
        <v>74</v>
      </c>
      <c r="B38" s="293">
        <v>-1.5740000000000001</v>
      </c>
      <c r="C38" s="293">
        <v>4.5999999999999996</v>
      </c>
      <c r="D38" s="293">
        <v>5</v>
      </c>
      <c r="E38" s="295">
        <f t="shared" si="0"/>
        <v>29.695999999999998</v>
      </c>
      <c r="F38" s="295">
        <f t="shared" si="1"/>
        <v>107.10655199999998</v>
      </c>
      <c r="G38" s="295">
        <f t="shared" si="2"/>
        <v>106.898876</v>
      </c>
    </row>
    <row r="39" spans="1:7" x14ac:dyDescent="0.2">
      <c r="A39" s="293">
        <v>75</v>
      </c>
      <c r="B39" s="293">
        <v>-1.5860000000000001</v>
      </c>
      <c r="C39" s="293">
        <v>4.5999999999999996</v>
      </c>
      <c r="D39" s="293">
        <v>5</v>
      </c>
      <c r="E39" s="295">
        <f t="shared" si="0"/>
        <v>29.744</v>
      </c>
      <c r="F39" s="295">
        <f t="shared" si="1"/>
        <v>107.46319199999999</v>
      </c>
      <c r="G39" s="295">
        <f t="shared" si="2"/>
        <v>107.28487199999998</v>
      </c>
    </row>
    <row r="40" spans="1:7" x14ac:dyDescent="0.2">
      <c r="A40" s="293">
        <v>76</v>
      </c>
      <c r="B40" s="293">
        <v>-1.639</v>
      </c>
      <c r="C40" s="293">
        <v>4.5999999999999996</v>
      </c>
      <c r="D40" s="293">
        <v>5</v>
      </c>
      <c r="E40" s="295">
        <f t="shared" si="0"/>
        <v>29.956</v>
      </c>
      <c r="F40" s="295">
        <f t="shared" si="1"/>
        <v>109.045242</v>
      </c>
      <c r="G40" s="295">
        <f t="shared" si="2"/>
        <v>108.254217</v>
      </c>
    </row>
    <row r="41" spans="1:7" x14ac:dyDescent="0.2">
      <c r="A41" s="293">
        <v>77</v>
      </c>
      <c r="B41" s="293">
        <v>-1.665</v>
      </c>
      <c r="C41" s="293">
        <v>4.5999999999999996</v>
      </c>
      <c r="D41" s="293">
        <v>5</v>
      </c>
      <c r="E41" s="295">
        <f t="shared" si="0"/>
        <v>30.06</v>
      </c>
      <c r="F41" s="295">
        <f t="shared" si="1"/>
        <v>109.82545</v>
      </c>
      <c r="G41" s="295">
        <f t="shared" si="2"/>
        <v>109.43534600000001</v>
      </c>
    </row>
    <row r="42" spans="1:7" x14ac:dyDescent="0.2">
      <c r="A42" s="293">
        <v>78</v>
      </c>
      <c r="B42" s="293">
        <v>-1.6859999999999999</v>
      </c>
      <c r="C42" s="293">
        <v>4.5999999999999996</v>
      </c>
      <c r="D42" s="293">
        <v>5</v>
      </c>
      <c r="E42" s="295">
        <f t="shared" si="0"/>
        <v>30.143999999999998</v>
      </c>
      <c r="F42" s="295">
        <f t="shared" si="1"/>
        <v>110.45759199999999</v>
      </c>
      <c r="G42" s="295">
        <f t="shared" si="2"/>
        <v>110.141521</v>
      </c>
    </row>
    <row r="43" spans="1:7" x14ac:dyDescent="0.2">
      <c r="A43" s="293">
        <v>79</v>
      </c>
      <c r="B43" s="293">
        <v>-1.718</v>
      </c>
      <c r="C43" s="293">
        <v>4.5999999999999996</v>
      </c>
      <c r="D43" s="293">
        <v>5</v>
      </c>
      <c r="E43" s="295">
        <f t="shared" si="0"/>
        <v>30.271999999999998</v>
      </c>
      <c r="F43" s="295">
        <f t="shared" si="1"/>
        <v>111.42424799999999</v>
      </c>
      <c r="G43" s="295">
        <f t="shared" si="2"/>
        <v>110.94091999999999</v>
      </c>
    </row>
    <row r="44" spans="1:7" x14ac:dyDescent="0.2">
      <c r="A44" s="293">
        <v>80</v>
      </c>
      <c r="B44" s="293">
        <v>-1.746</v>
      </c>
      <c r="C44" s="296">
        <f>C43-(($C$43-$C$80)/36)</f>
        <v>4.4722222222222214</v>
      </c>
      <c r="D44" s="293">
        <v>5</v>
      </c>
      <c r="E44" s="295">
        <f t="shared" si="0"/>
        <v>29.872888888888887</v>
      </c>
      <c r="F44" s="295">
        <f t="shared" si="1"/>
        <v>108.42368632098764</v>
      </c>
      <c r="G44" s="295">
        <f t="shared" si="2"/>
        <v>109.92396716049382</v>
      </c>
    </row>
    <row r="45" spans="1:7" x14ac:dyDescent="0.2">
      <c r="A45" s="293">
        <v>81</v>
      </c>
      <c r="B45" s="293">
        <v>-1.7749999999999999</v>
      </c>
      <c r="C45" s="296">
        <f t="shared" ref="C45:C79" si="6">C44-(($C$43-$C$80)/36)</f>
        <v>4.3444444444444432</v>
      </c>
      <c r="D45" s="293">
        <v>5</v>
      </c>
      <c r="E45" s="295">
        <f t="shared" si="0"/>
        <v>29.477777777777774</v>
      </c>
      <c r="F45" s="295">
        <f t="shared" si="1"/>
        <v>105.49242283950615</v>
      </c>
      <c r="G45" s="295">
        <f t="shared" si="2"/>
        <v>106.95805458024689</v>
      </c>
    </row>
    <row r="46" spans="1:7" x14ac:dyDescent="0.2">
      <c r="A46" s="293">
        <v>82</v>
      </c>
      <c r="B46" s="293">
        <v>-1.8180000000000001</v>
      </c>
      <c r="C46" s="296">
        <f t="shared" si="6"/>
        <v>4.216666666666665</v>
      </c>
      <c r="D46" s="293">
        <v>5</v>
      </c>
      <c r="E46" s="295">
        <f t="shared" si="0"/>
        <v>29.138666666666659</v>
      </c>
      <c r="F46" s="295">
        <f t="shared" si="1"/>
        <v>103.00773688888883</v>
      </c>
      <c r="G46" s="295">
        <f t="shared" si="2"/>
        <v>104.25007986419749</v>
      </c>
    </row>
    <row r="47" spans="1:7" x14ac:dyDescent="0.2">
      <c r="A47" s="293">
        <v>83</v>
      </c>
      <c r="B47" s="293">
        <v>-1.86</v>
      </c>
      <c r="C47" s="296">
        <f t="shared" si="6"/>
        <v>4.0888888888888868</v>
      </c>
      <c r="D47" s="293">
        <v>5</v>
      </c>
      <c r="E47" s="295">
        <f t="shared" si="0"/>
        <v>28.795555555555548</v>
      </c>
      <c r="F47" s="295">
        <f t="shared" si="1"/>
        <v>100.52300246913576</v>
      </c>
      <c r="G47" s="295">
        <f t="shared" si="2"/>
        <v>101.7653696790123</v>
      </c>
    </row>
    <row r="48" spans="1:7" x14ac:dyDescent="0.2">
      <c r="A48" s="293">
        <v>84</v>
      </c>
      <c r="B48" s="293">
        <v>-1.869</v>
      </c>
      <c r="C48" s="296">
        <f t="shared" si="6"/>
        <v>3.961111111111109</v>
      </c>
      <c r="D48" s="293">
        <v>5</v>
      </c>
      <c r="E48" s="295">
        <f t="shared" si="0"/>
        <v>28.320444444444437</v>
      </c>
      <c r="F48" s="295">
        <f t="shared" si="1"/>
        <v>97.130946691357963</v>
      </c>
      <c r="G48" s="295">
        <f t="shared" si="2"/>
        <v>98.826974580246855</v>
      </c>
    </row>
    <row r="49" spans="1:7" x14ac:dyDescent="0.2">
      <c r="A49" s="293">
        <v>85</v>
      </c>
      <c r="B49" s="293">
        <v>-1.8839999999999999</v>
      </c>
      <c r="C49" s="296">
        <f t="shared" si="6"/>
        <v>3.8333333333333313</v>
      </c>
      <c r="D49" s="293">
        <v>5</v>
      </c>
      <c r="E49" s="295">
        <f t="shared" si="0"/>
        <v>27.869333333333323</v>
      </c>
      <c r="F49" s="295">
        <f t="shared" si="1"/>
        <v>93.962467555555477</v>
      </c>
      <c r="G49" s="295">
        <f t="shared" si="2"/>
        <v>95.546707123456713</v>
      </c>
    </row>
    <row r="50" spans="1:7" x14ac:dyDescent="0.2">
      <c r="A50" s="293">
        <v>86</v>
      </c>
      <c r="B50" s="293">
        <v>-1.897</v>
      </c>
      <c r="C50" s="296">
        <f t="shared" si="6"/>
        <v>3.7055555555555535</v>
      </c>
      <c r="D50" s="293">
        <v>5</v>
      </c>
      <c r="E50" s="295">
        <f t="shared" si="0"/>
        <v>27.410222222222213</v>
      </c>
      <c r="F50" s="295">
        <f t="shared" si="1"/>
        <v>90.790035283950559</v>
      </c>
      <c r="G50" s="295">
        <f t="shared" si="2"/>
        <v>92.376251419753018</v>
      </c>
    </row>
    <row r="51" spans="1:7" x14ac:dyDescent="0.2">
      <c r="A51" s="293">
        <v>87</v>
      </c>
      <c r="B51" s="293">
        <v>-1.9159999999999999</v>
      </c>
      <c r="C51" s="296">
        <f t="shared" si="6"/>
        <v>3.5777777777777757</v>
      </c>
      <c r="D51" s="293">
        <v>5</v>
      </c>
      <c r="E51" s="295">
        <f t="shared" si="0"/>
        <v>26.975111111111104</v>
      </c>
      <c r="F51" s="295">
        <f t="shared" si="1"/>
        <v>87.832077432098714</v>
      </c>
      <c r="G51" s="295">
        <f t="shared" si="2"/>
        <v>89.311056358024643</v>
      </c>
    </row>
    <row r="52" spans="1:7" x14ac:dyDescent="0.2">
      <c r="A52" s="293">
        <v>88</v>
      </c>
      <c r="B52" s="293">
        <v>-1.956</v>
      </c>
      <c r="C52" s="296">
        <f t="shared" si="6"/>
        <v>3.449999999999998</v>
      </c>
      <c r="D52" s="293">
        <v>5</v>
      </c>
      <c r="E52" s="295">
        <f t="shared" si="0"/>
        <v>26.623999999999992</v>
      </c>
      <c r="F52" s="295">
        <f t="shared" si="1"/>
        <v>85.479671999999951</v>
      </c>
      <c r="G52" s="295">
        <f t="shared" si="2"/>
        <v>86.65587471604934</v>
      </c>
    </row>
    <row r="53" spans="1:7" x14ac:dyDescent="0.2">
      <c r="A53" s="293">
        <v>89</v>
      </c>
      <c r="B53" s="293">
        <v>-1.958</v>
      </c>
      <c r="C53" s="296">
        <f t="shared" si="6"/>
        <v>3.3222222222222202</v>
      </c>
      <c r="D53" s="293">
        <v>5</v>
      </c>
      <c r="E53" s="295">
        <f t="shared" si="0"/>
        <v>26.120888888888881</v>
      </c>
      <c r="F53" s="295">
        <f t="shared" si="1"/>
        <v>82.162604543209824</v>
      </c>
      <c r="G53" s="295">
        <f t="shared" si="2"/>
        <v>83.821138271604894</v>
      </c>
    </row>
    <row r="54" spans="1:7" x14ac:dyDescent="0.2">
      <c r="A54" s="293">
        <v>90</v>
      </c>
      <c r="B54" s="293">
        <v>-1.99</v>
      </c>
      <c r="C54" s="296">
        <f t="shared" si="6"/>
        <v>3.1944444444444424</v>
      </c>
      <c r="D54" s="293">
        <v>5</v>
      </c>
      <c r="E54" s="295">
        <f t="shared" si="0"/>
        <v>25.737777777777769</v>
      </c>
      <c r="F54" s="295">
        <f t="shared" si="1"/>
        <v>79.679150617283895</v>
      </c>
      <c r="G54" s="295">
        <f t="shared" si="2"/>
        <v>80.920877580246867</v>
      </c>
    </row>
    <row r="55" spans="1:7" x14ac:dyDescent="0.2">
      <c r="A55" s="293">
        <v>91</v>
      </c>
      <c r="B55" s="293">
        <v>-2.0249999999999999</v>
      </c>
      <c r="C55" s="296">
        <f t="shared" si="6"/>
        <v>3.0666666666666647</v>
      </c>
      <c r="D55" s="293">
        <v>5</v>
      </c>
      <c r="E55" s="295">
        <f t="shared" si="0"/>
        <v>25.36666666666666</v>
      </c>
      <c r="F55" s="295">
        <f t="shared" si="1"/>
        <v>77.308472222222179</v>
      </c>
      <c r="G55" s="295">
        <f t="shared" si="2"/>
        <v>78.49381141975303</v>
      </c>
    </row>
    <row r="56" spans="1:7" x14ac:dyDescent="0.2">
      <c r="A56" s="293">
        <v>92</v>
      </c>
      <c r="B56" s="293">
        <v>-2.048</v>
      </c>
      <c r="C56" s="296">
        <f t="shared" si="6"/>
        <v>2.9388888888888869</v>
      </c>
      <c r="D56" s="293">
        <v>5</v>
      </c>
      <c r="E56" s="295">
        <f t="shared" si="0"/>
        <v>24.947555555555546</v>
      </c>
      <c r="F56" s="295">
        <f t="shared" si="1"/>
        <v>74.672566024691292</v>
      </c>
      <c r="G56" s="295">
        <f t="shared" si="2"/>
        <v>75.990519123456735</v>
      </c>
    </row>
    <row r="57" spans="1:7" x14ac:dyDescent="0.2">
      <c r="A57" s="293">
        <v>93</v>
      </c>
      <c r="B57" s="293">
        <v>-2.08</v>
      </c>
      <c r="C57" s="296">
        <f t="shared" si="6"/>
        <v>2.8111111111111091</v>
      </c>
      <c r="D57" s="293">
        <v>5</v>
      </c>
      <c r="E57" s="295">
        <f t="shared" si="0"/>
        <v>24.564444444444437</v>
      </c>
      <c r="F57" s="295">
        <f t="shared" si="1"/>
        <v>72.301491358024649</v>
      </c>
      <c r="G57" s="295">
        <f t="shared" si="2"/>
        <v>73.487028691357978</v>
      </c>
    </row>
    <row r="58" spans="1:7" x14ac:dyDescent="0.2">
      <c r="A58" s="293">
        <v>94</v>
      </c>
      <c r="B58" s="293">
        <v>-2.1070000000000002</v>
      </c>
      <c r="C58" s="296">
        <f t="shared" si="6"/>
        <v>2.6833333333333313</v>
      </c>
      <c r="D58" s="293">
        <v>5</v>
      </c>
      <c r="E58" s="295">
        <f t="shared" si="0"/>
        <v>24.161333333333324</v>
      </c>
      <c r="F58" s="295">
        <f t="shared" si="1"/>
        <v>69.846253555555506</v>
      </c>
      <c r="G58" s="295">
        <f t="shared" si="2"/>
        <v>71.07387245679007</v>
      </c>
    </row>
    <row r="59" spans="1:7" x14ac:dyDescent="0.2">
      <c r="A59" s="293">
        <v>95</v>
      </c>
      <c r="B59" s="293">
        <v>-2.1070000000000002</v>
      </c>
      <c r="C59" s="296">
        <f t="shared" si="6"/>
        <v>2.5555555555555536</v>
      </c>
      <c r="D59" s="293">
        <v>5</v>
      </c>
      <c r="E59" s="295">
        <f t="shared" si="0"/>
        <v>23.650222222222215</v>
      </c>
      <c r="F59" s="295">
        <f t="shared" si="1"/>
        <v>66.791626395061684</v>
      </c>
      <c r="G59" s="295">
        <f t="shared" si="2"/>
        <v>68.318939975308595</v>
      </c>
    </row>
    <row r="60" spans="1:7" x14ac:dyDescent="0.2">
      <c r="A60" s="293">
        <v>96</v>
      </c>
      <c r="B60" s="293">
        <v>-2.1309999999999998</v>
      </c>
      <c r="C60" s="296">
        <f t="shared" si="6"/>
        <v>2.4277777777777758</v>
      </c>
      <c r="D60" s="293">
        <v>5</v>
      </c>
      <c r="E60" s="295">
        <f t="shared" si="0"/>
        <v>23.235111111111102</v>
      </c>
      <c r="F60" s="295">
        <f t="shared" si="1"/>
        <v>64.358798543209829</v>
      </c>
      <c r="G60" s="295">
        <f t="shared" si="2"/>
        <v>65.575212469135749</v>
      </c>
    </row>
    <row r="61" spans="1:7" x14ac:dyDescent="0.2">
      <c r="A61" s="293">
        <v>97</v>
      </c>
      <c r="B61" s="293">
        <v>-2.1579999999999999</v>
      </c>
      <c r="C61" s="296">
        <f t="shared" si="6"/>
        <v>2.299999999999998</v>
      </c>
      <c r="D61" s="293">
        <v>5</v>
      </c>
      <c r="E61" s="295">
        <f t="shared" si="0"/>
        <v>22.831999999999994</v>
      </c>
      <c r="F61" s="295">
        <f t="shared" si="1"/>
        <v>62.037527999999966</v>
      </c>
      <c r="G61" s="295">
        <f t="shared" si="2"/>
        <v>63.198163271604898</v>
      </c>
    </row>
    <row r="62" spans="1:7" x14ac:dyDescent="0.2">
      <c r="A62" s="293">
        <v>98</v>
      </c>
      <c r="B62" s="293">
        <v>-2.1589999999999998</v>
      </c>
      <c r="C62" s="296">
        <f t="shared" si="6"/>
        <v>2.1722222222222203</v>
      </c>
      <c r="D62" s="293">
        <v>5</v>
      </c>
      <c r="E62" s="295">
        <f t="shared" si="0"/>
        <v>22.324888888888879</v>
      </c>
      <c r="F62" s="295">
        <f t="shared" si="1"/>
        <v>59.175082987654264</v>
      </c>
      <c r="G62" s="295">
        <f t="shared" si="2"/>
        <v>60.606305493827115</v>
      </c>
    </row>
    <row r="63" spans="1:7" x14ac:dyDescent="0.2">
      <c r="A63" s="293">
        <v>99</v>
      </c>
      <c r="B63" s="293">
        <v>-2.16</v>
      </c>
      <c r="C63" s="296">
        <f t="shared" si="6"/>
        <v>2.0444444444444425</v>
      </c>
      <c r="D63" s="293">
        <v>5</v>
      </c>
      <c r="E63" s="295">
        <f t="shared" si="0"/>
        <v>21.817777777777771</v>
      </c>
      <c r="F63" s="295">
        <f t="shared" si="1"/>
        <v>56.37692839506169</v>
      </c>
      <c r="G63" s="295">
        <f t="shared" si="2"/>
        <v>57.77600569135798</v>
      </c>
    </row>
    <row r="64" spans="1:7" x14ac:dyDescent="0.2">
      <c r="A64" s="293">
        <v>100</v>
      </c>
      <c r="B64" s="293">
        <v>-2.16</v>
      </c>
      <c r="C64" s="296">
        <f t="shared" si="6"/>
        <v>1.9166666666666647</v>
      </c>
      <c r="D64" s="293">
        <v>5</v>
      </c>
      <c r="E64" s="295">
        <f t="shared" si="0"/>
        <v>21.306666666666658</v>
      </c>
      <c r="F64" s="295">
        <f t="shared" si="1"/>
        <v>53.621755555555509</v>
      </c>
      <c r="G64" s="295">
        <f t="shared" si="2"/>
        <v>54.999341975308596</v>
      </c>
    </row>
    <row r="65" spans="1:7" x14ac:dyDescent="0.2">
      <c r="A65" s="293">
        <v>101</v>
      </c>
      <c r="B65" s="293">
        <v>-2.157</v>
      </c>
      <c r="C65" s="296">
        <f t="shared" si="6"/>
        <v>1.788888888888887</v>
      </c>
      <c r="D65" s="293">
        <v>5</v>
      </c>
      <c r="E65" s="295">
        <f t="shared" si="0"/>
        <v>20.783555555555548</v>
      </c>
      <c r="F65" s="295">
        <f t="shared" si="1"/>
        <v>50.869522691357986</v>
      </c>
      <c r="G65" s="295">
        <f t="shared" si="2"/>
        <v>52.245639123456748</v>
      </c>
    </row>
    <row r="66" spans="1:7" x14ac:dyDescent="0.2">
      <c r="A66" s="293">
        <v>102</v>
      </c>
      <c r="B66" s="293">
        <v>-2.1539999999999999</v>
      </c>
      <c r="C66" s="296">
        <f t="shared" si="6"/>
        <v>1.6611111111111092</v>
      </c>
      <c r="D66" s="293">
        <v>5</v>
      </c>
      <c r="E66" s="295">
        <f t="shared" si="0"/>
        <v>20.260444444444438</v>
      </c>
      <c r="F66" s="295">
        <f t="shared" si="1"/>
        <v>48.185701135802432</v>
      </c>
      <c r="G66" s="295">
        <f t="shared" si="2"/>
        <v>49.527611913580209</v>
      </c>
    </row>
    <row r="67" spans="1:7" x14ac:dyDescent="0.2">
      <c r="A67" s="293">
        <v>103</v>
      </c>
      <c r="B67" s="293">
        <v>-2.1509999999999998</v>
      </c>
      <c r="C67" s="296">
        <f t="shared" si="6"/>
        <v>1.5333333333333314</v>
      </c>
      <c r="D67" s="293">
        <v>5</v>
      </c>
      <c r="E67" s="295">
        <f t="shared" si="0"/>
        <v>19.737333333333325</v>
      </c>
      <c r="F67" s="295">
        <f t="shared" si="1"/>
        <v>45.570290888888849</v>
      </c>
      <c r="G67" s="295">
        <f t="shared" si="2"/>
        <v>46.877996012345641</v>
      </c>
    </row>
    <row r="68" spans="1:7" x14ac:dyDescent="0.2">
      <c r="A68" s="293">
        <v>104</v>
      </c>
      <c r="B68" s="293">
        <v>-2.1480000000000001</v>
      </c>
      <c r="C68" s="296">
        <f t="shared" si="6"/>
        <v>1.4055555555555537</v>
      </c>
      <c r="D68" s="293">
        <v>5</v>
      </c>
      <c r="E68" s="295">
        <f t="shared" ref="E68:E100" si="7">D68+2*$H$2*(C68-B68)</f>
        <v>19.214222222222215</v>
      </c>
      <c r="F68" s="295">
        <f t="shared" ref="F68:F100" si="8">((E68+D68)/2)*(C68-B68)</f>
        <v>43.023291950617249</v>
      </c>
      <c r="G68" s="295">
        <f t="shared" si="2"/>
        <v>44.296791419753049</v>
      </c>
    </row>
    <row r="69" spans="1:7" x14ac:dyDescent="0.2">
      <c r="A69" s="293">
        <v>105</v>
      </c>
      <c r="B69" s="293">
        <v>-2.145</v>
      </c>
      <c r="C69" s="296">
        <f t="shared" si="6"/>
        <v>1.2777777777777759</v>
      </c>
      <c r="D69" s="293">
        <v>5</v>
      </c>
      <c r="E69" s="295">
        <f t="shared" si="7"/>
        <v>18.691111111111105</v>
      </c>
      <c r="F69" s="295">
        <f t="shared" si="8"/>
        <v>40.54470432098762</v>
      </c>
      <c r="G69" s="295">
        <f t="shared" ref="G69:G100" si="9">((F69+F68)/2)*(A69-A68)</f>
        <v>41.783998135802435</v>
      </c>
    </row>
    <row r="70" spans="1:7" x14ac:dyDescent="0.2">
      <c r="A70" s="293">
        <v>106</v>
      </c>
      <c r="B70" s="293">
        <v>-2.1419999999999999</v>
      </c>
      <c r="C70" s="296">
        <f t="shared" si="6"/>
        <v>1.1499999999999981</v>
      </c>
      <c r="D70" s="293">
        <v>5</v>
      </c>
      <c r="E70" s="295">
        <f t="shared" si="7"/>
        <v>18.167999999999992</v>
      </c>
      <c r="F70" s="295">
        <f t="shared" si="8"/>
        <v>38.134527999999968</v>
      </c>
      <c r="G70" s="295">
        <f t="shared" si="9"/>
        <v>39.33961616049379</v>
      </c>
    </row>
    <row r="71" spans="1:7" x14ac:dyDescent="0.2">
      <c r="A71" s="293">
        <v>107</v>
      </c>
      <c r="B71" s="293">
        <v>-2.1389999999999998</v>
      </c>
      <c r="C71" s="296">
        <f t="shared" si="6"/>
        <v>1.0222222222222204</v>
      </c>
      <c r="D71" s="293">
        <v>5</v>
      </c>
      <c r="E71" s="295">
        <f t="shared" si="7"/>
        <v>17.644888888888879</v>
      </c>
      <c r="F71" s="295">
        <f t="shared" si="8"/>
        <v>35.792762987654285</v>
      </c>
      <c r="G71" s="295">
        <f t="shared" si="9"/>
        <v>36.96364549382713</v>
      </c>
    </row>
    <row r="72" spans="1:7" x14ac:dyDescent="0.2">
      <c r="A72" s="293">
        <v>108</v>
      </c>
      <c r="B72" s="293">
        <v>-2.1360000000000001</v>
      </c>
      <c r="C72" s="296">
        <f t="shared" si="6"/>
        <v>0.8944444444444426</v>
      </c>
      <c r="D72" s="293">
        <v>5</v>
      </c>
      <c r="E72" s="295">
        <f t="shared" si="7"/>
        <v>17.121777777777773</v>
      </c>
      <c r="F72" s="295">
        <f t="shared" si="8"/>
        <v>33.519409283950587</v>
      </c>
      <c r="G72" s="295">
        <f t="shared" si="9"/>
        <v>34.65608613580244</v>
      </c>
    </row>
    <row r="73" spans="1:7" x14ac:dyDescent="0.2">
      <c r="A73" s="293">
        <v>109</v>
      </c>
      <c r="B73" s="293">
        <v>-2.133</v>
      </c>
      <c r="C73" s="296">
        <f t="shared" si="6"/>
        <v>0.76666666666666483</v>
      </c>
      <c r="D73" s="293">
        <v>5</v>
      </c>
      <c r="E73" s="295">
        <f t="shared" si="7"/>
        <v>16.598666666666659</v>
      </c>
      <c r="F73" s="295">
        <f t="shared" si="8"/>
        <v>31.314466888888859</v>
      </c>
      <c r="G73" s="295">
        <f t="shared" si="9"/>
        <v>32.416938086419719</v>
      </c>
    </row>
    <row r="74" spans="1:7" x14ac:dyDescent="0.2">
      <c r="A74" s="293">
        <v>110</v>
      </c>
      <c r="B74" s="293">
        <v>-2.1280000000000001</v>
      </c>
      <c r="C74" s="296">
        <f t="shared" si="6"/>
        <v>0.63888888888888706</v>
      </c>
      <c r="D74" s="293">
        <v>5</v>
      </c>
      <c r="E74" s="295">
        <f t="shared" si="7"/>
        <v>16.06755555555555</v>
      </c>
      <c r="F74" s="295">
        <f t="shared" si="8"/>
        <v>29.145792691358</v>
      </c>
      <c r="G74" s="295">
        <f t="shared" si="9"/>
        <v>30.230129790123428</v>
      </c>
    </row>
    <row r="75" spans="1:7" x14ac:dyDescent="0.2">
      <c r="A75" s="293">
        <v>111</v>
      </c>
      <c r="B75" s="293">
        <v>-2.1230000000000002</v>
      </c>
      <c r="C75" s="296">
        <f t="shared" si="6"/>
        <v>0.5111111111111093</v>
      </c>
      <c r="D75" s="293">
        <v>5</v>
      </c>
      <c r="E75" s="295">
        <f t="shared" si="7"/>
        <v>15.536444444444438</v>
      </c>
      <c r="F75" s="295">
        <f t="shared" si="8"/>
        <v>27.047638246913557</v>
      </c>
      <c r="G75" s="295">
        <f t="shared" si="9"/>
        <v>28.096715469135781</v>
      </c>
    </row>
    <row r="76" spans="1:7" x14ac:dyDescent="0.2">
      <c r="A76" s="293">
        <v>112</v>
      </c>
      <c r="B76" s="293">
        <v>-2.1179999999999999</v>
      </c>
      <c r="C76" s="296">
        <f t="shared" si="6"/>
        <v>0.38333333333333153</v>
      </c>
      <c r="D76" s="293">
        <v>5</v>
      </c>
      <c r="E76" s="295">
        <f t="shared" si="7"/>
        <v>15.005333333333326</v>
      </c>
      <c r="F76" s="295">
        <f t="shared" si="8"/>
        <v>25.020003555555526</v>
      </c>
      <c r="G76" s="295">
        <f t="shared" si="9"/>
        <v>26.033820901234542</v>
      </c>
    </row>
    <row r="77" spans="1:7" x14ac:dyDescent="0.2">
      <c r="A77" s="293">
        <v>113</v>
      </c>
      <c r="B77" s="293">
        <v>-2.113</v>
      </c>
      <c r="C77" s="296">
        <f t="shared" si="6"/>
        <v>0.25555555555555376</v>
      </c>
      <c r="D77" s="293">
        <v>5</v>
      </c>
      <c r="E77" s="295">
        <f t="shared" si="7"/>
        <v>14.474222222222215</v>
      </c>
      <c r="F77" s="295">
        <f t="shared" si="8"/>
        <v>23.062888617283928</v>
      </c>
      <c r="G77" s="295">
        <f t="shared" si="9"/>
        <v>24.041446086419725</v>
      </c>
    </row>
    <row r="78" spans="1:7" x14ac:dyDescent="0.2">
      <c r="A78" s="293">
        <v>114</v>
      </c>
      <c r="B78" s="293">
        <v>-2.1120000000000001</v>
      </c>
      <c r="C78" s="296">
        <f t="shared" si="6"/>
        <v>0.12777777777777599</v>
      </c>
      <c r="D78" s="293">
        <v>5</v>
      </c>
      <c r="E78" s="295">
        <f t="shared" si="7"/>
        <v>13.959111111111104</v>
      </c>
      <c r="F78" s="295">
        <f t="shared" si="8"/>
        <v>21.23209787654319</v>
      </c>
      <c r="G78" s="295">
        <f t="shared" si="9"/>
        <v>22.147493246913559</v>
      </c>
    </row>
    <row r="79" spans="1:7" x14ac:dyDescent="0.2">
      <c r="A79" s="293">
        <v>115</v>
      </c>
      <c r="B79" s="293">
        <v>-2.1110000000000002</v>
      </c>
      <c r="C79" s="296">
        <f t="shared" si="6"/>
        <v>-1.7763568394002505E-15</v>
      </c>
      <c r="D79" s="293">
        <v>5</v>
      </c>
      <c r="E79" s="295">
        <f t="shared" si="7"/>
        <v>13.443999999999994</v>
      </c>
      <c r="F79" s="295">
        <f t="shared" si="8"/>
        <v>19.46764199999998</v>
      </c>
      <c r="G79" s="295">
        <f t="shared" si="9"/>
        <v>20.349869938271585</v>
      </c>
    </row>
    <row r="80" spans="1:7" x14ac:dyDescent="0.2">
      <c r="A80" s="293">
        <v>116</v>
      </c>
      <c r="B80" s="293">
        <v>-2.11</v>
      </c>
      <c r="C80" s="293">
        <v>0</v>
      </c>
      <c r="D80" s="293">
        <v>5</v>
      </c>
      <c r="E80" s="295">
        <f t="shared" si="7"/>
        <v>13.44</v>
      </c>
      <c r="F80" s="295">
        <f t="shared" si="8"/>
        <v>19.454199999999997</v>
      </c>
      <c r="G80" s="295">
        <f t="shared" si="9"/>
        <v>19.460920999999988</v>
      </c>
    </row>
    <row r="81" spans="1:7" x14ac:dyDescent="0.2">
      <c r="A81" s="293">
        <v>117</v>
      </c>
      <c r="B81" s="293">
        <v>-2.109</v>
      </c>
      <c r="C81" s="293">
        <v>0</v>
      </c>
      <c r="D81" s="293">
        <v>5</v>
      </c>
      <c r="E81" s="295">
        <f t="shared" si="7"/>
        <v>13.436</v>
      </c>
      <c r="F81" s="295">
        <f t="shared" si="8"/>
        <v>19.440761999999999</v>
      </c>
      <c r="G81" s="295">
        <f t="shared" si="9"/>
        <v>19.447480999999996</v>
      </c>
    </row>
    <row r="82" spans="1:7" x14ac:dyDescent="0.2">
      <c r="A82" s="293">
        <v>118</v>
      </c>
      <c r="B82" s="293">
        <v>-2.1080000000000001</v>
      </c>
      <c r="C82" s="293">
        <v>0</v>
      </c>
      <c r="D82" s="293">
        <v>5</v>
      </c>
      <c r="E82" s="295">
        <f t="shared" si="7"/>
        <v>13.432</v>
      </c>
      <c r="F82" s="295">
        <f t="shared" si="8"/>
        <v>19.427328000000003</v>
      </c>
      <c r="G82" s="295">
        <f t="shared" si="9"/>
        <v>19.434045000000001</v>
      </c>
    </row>
    <row r="83" spans="1:7" x14ac:dyDescent="0.2">
      <c r="A83" s="293">
        <v>119</v>
      </c>
      <c r="B83" s="293">
        <v>-2.1070000000000002</v>
      </c>
      <c r="C83" s="293">
        <v>0</v>
      </c>
      <c r="D83" s="293">
        <v>5</v>
      </c>
      <c r="E83" s="295">
        <f t="shared" si="7"/>
        <v>13.428000000000001</v>
      </c>
      <c r="F83" s="295">
        <f t="shared" si="8"/>
        <v>19.413898000000003</v>
      </c>
      <c r="G83" s="295">
        <f t="shared" si="9"/>
        <v>19.420613000000003</v>
      </c>
    </row>
    <row r="84" spans="1:7" x14ac:dyDescent="0.2">
      <c r="A84" s="293">
        <v>120</v>
      </c>
      <c r="B84" s="293">
        <v>-2.1059999999999999</v>
      </c>
      <c r="C84" s="293">
        <v>0</v>
      </c>
      <c r="D84" s="293">
        <v>5</v>
      </c>
      <c r="E84" s="295">
        <f t="shared" si="7"/>
        <v>13.423999999999999</v>
      </c>
      <c r="F84" s="295">
        <f t="shared" si="8"/>
        <v>19.400471999999997</v>
      </c>
      <c r="G84" s="295">
        <f t="shared" si="9"/>
        <v>19.407184999999998</v>
      </c>
    </row>
    <row r="85" spans="1:7" x14ac:dyDescent="0.2">
      <c r="A85" s="293">
        <v>121</v>
      </c>
      <c r="B85" s="293">
        <v>-2.105</v>
      </c>
      <c r="C85" s="293">
        <v>0</v>
      </c>
      <c r="D85" s="293">
        <v>5</v>
      </c>
      <c r="E85" s="295">
        <f t="shared" si="7"/>
        <v>13.42</v>
      </c>
      <c r="F85" s="295">
        <f t="shared" si="8"/>
        <v>19.387050000000002</v>
      </c>
      <c r="G85" s="295">
        <f t="shared" si="9"/>
        <v>19.393760999999998</v>
      </c>
    </row>
    <row r="86" spans="1:7" x14ac:dyDescent="0.2">
      <c r="A86" s="293">
        <v>122</v>
      </c>
      <c r="B86" s="293">
        <v>-2.1040000000000001</v>
      </c>
      <c r="C86" s="293">
        <v>0</v>
      </c>
      <c r="D86" s="293">
        <v>5</v>
      </c>
      <c r="E86" s="295">
        <f t="shared" si="7"/>
        <v>13.416</v>
      </c>
      <c r="F86" s="295">
        <f t="shared" si="8"/>
        <v>19.373632000000001</v>
      </c>
      <c r="G86" s="295">
        <f t="shared" si="9"/>
        <v>19.380341000000001</v>
      </c>
    </row>
    <row r="87" spans="1:7" x14ac:dyDescent="0.2">
      <c r="A87" s="293">
        <v>123</v>
      </c>
      <c r="B87" s="293">
        <v>-2.1030000000000002</v>
      </c>
      <c r="C87" s="293">
        <v>0</v>
      </c>
      <c r="D87" s="293">
        <v>5</v>
      </c>
      <c r="E87" s="295">
        <f t="shared" si="7"/>
        <v>13.412000000000001</v>
      </c>
      <c r="F87" s="295">
        <f t="shared" si="8"/>
        <v>19.360218</v>
      </c>
      <c r="G87" s="295">
        <f t="shared" si="9"/>
        <v>19.366925000000002</v>
      </c>
    </row>
    <row r="88" spans="1:7" x14ac:dyDescent="0.2">
      <c r="A88" s="293">
        <v>124</v>
      </c>
      <c r="B88" s="293">
        <v>-2.1019999999999999</v>
      </c>
      <c r="C88" s="293">
        <v>0</v>
      </c>
      <c r="D88" s="293">
        <v>5</v>
      </c>
      <c r="E88" s="295">
        <f t="shared" si="7"/>
        <v>13.407999999999999</v>
      </c>
      <c r="F88" s="295">
        <f t="shared" si="8"/>
        <v>19.346807999999999</v>
      </c>
      <c r="G88" s="295">
        <f t="shared" si="9"/>
        <v>19.353513</v>
      </c>
    </row>
    <row r="89" spans="1:7" x14ac:dyDescent="0.2">
      <c r="A89" s="293">
        <v>125</v>
      </c>
      <c r="B89" s="293">
        <v>-2.101</v>
      </c>
      <c r="C89" s="293">
        <v>0</v>
      </c>
      <c r="D89" s="293">
        <v>5</v>
      </c>
      <c r="E89" s="295">
        <f t="shared" si="7"/>
        <v>13.404</v>
      </c>
      <c r="F89" s="295">
        <f t="shared" si="8"/>
        <v>19.333402</v>
      </c>
      <c r="G89" s="295">
        <f t="shared" si="9"/>
        <v>19.340105000000001</v>
      </c>
    </row>
    <row r="90" spans="1:7" x14ac:dyDescent="0.2">
      <c r="A90" s="293">
        <v>126</v>
      </c>
      <c r="B90" s="293">
        <v>-2.1</v>
      </c>
      <c r="C90" s="293">
        <v>0</v>
      </c>
      <c r="D90" s="293">
        <v>5</v>
      </c>
      <c r="E90" s="295">
        <f t="shared" si="7"/>
        <v>13.4</v>
      </c>
      <c r="F90" s="295">
        <f t="shared" si="8"/>
        <v>19.32</v>
      </c>
      <c r="G90" s="295">
        <f t="shared" si="9"/>
        <v>19.326701</v>
      </c>
    </row>
    <row r="91" spans="1:7" x14ac:dyDescent="0.2">
      <c r="A91" s="293">
        <v>127</v>
      </c>
      <c r="B91" s="293">
        <v>-2.0990000000000002</v>
      </c>
      <c r="C91" s="293">
        <v>0</v>
      </c>
      <c r="D91" s="293">
        <v>5</v>
      </c>
      <c r="E91" s="295">
        <f t="shared" si="7"/>
        <v>13.396000000000001</v>
      </c>
      <c r="F91" s="295">
        <f t="shared" si="8"/>
        <v>19.306602000000002</v>
      </c>
      <c r="G91" s="295">
        <f t="shared" si="9"/>
        <v>19.313301000000003</v>
      </c>
    </row>
    <row r="92" spans="1:7" x14ac:dyDescent="0.2">
      <c r="A92" s="293">
        <v>128</v>
      </c>
      <c r="B92" s="293">
        <v>-2.0979999999999999</v>
      </c>
      <c r="C92" s="293">
        <v>0</v>
      </c>
      <c r="D92" s="293">
        <v>5</v>
      </c>
      <c r="E92" s="295">
        <f t="shared" si="7"/>
        <v>13.391999999999999</v>
      </c>
      <c r="F92" s="295">
        <f t="shared" si="8"/>
        <v>19.293208</v>
      </c>
      <c r="G92" s="295">
        <f t="shared" si="9"/>
        <v>19.299905000000003</v>
      </c>
    </row>
    <row r="93" spans="1:7" x14ac:dyDescent="0.2">
      <c r="A93" s="293">
        <v>129</v>
      </c>
      <c r="B93" s="293">
        <v>-2.097</v>
      </c>
      <c r="C93" s="293">
        <v>0</v>
      </c>
      <c r="D93" s="293">
        <v>5</v>
      </c>
      <c r="E93" s="295">
        <f t="shared" si="7"/>
        <v>13.388</v>
      </c>
      <c r="F93" s="295">
        <f t="shared" si="8"/>
        <v>19.279817999999999</v>
      </c>
      <c r="G93" s="295">
        <f t="shared" si="9"/>
        <v>19.286512999999999</v>
      </c>
    </row>
    <row r="94" spans="1:7" x14ac:dyDescent="0.2">
      <c r="A94" s="293">
        <v>130</v>
      </c>
      <c r="B94" s="293">
        <v>-2.0960000000000001</v>
      </c>
      <c r="C94" s="293">
        <v>0</v>
      </c>
      <c r="D94" s="293">
        <v>5</v>
      </c>
      <c r="E94" s="295">
        <f t="shared" si="7"/>
        <v>13.384</v>
      </c>
      <c r="F94" s="295">
        <f t="shared" si="8"/>
        <v>19.266432000000002</v>
      </c>
      <c r="G94" s="295">
        <f t="shared" si="9"/>
        <v>19.273125</v>
      </c>
    </row>
    <row r="95" spans="1:7" x14ac:dyDescent="0.2">
      <c r="A95" s="293">
        <v>131</v>
      </c>
      <c r="B95" s="293">
        <v>-2.0950000000000002</v>
      </c>
      <c r="C95" s="293">
        <f>C94-(($C$94-$C$99)/5)</f>
        <v>-0.41820000000000002</v>
      </c>
      <c r="D95" s="293">
        <v>5</v>
      </c>
      <c r="E95" s="295">
        <f t="shared" si="7"/>
        <v>11.7072</v>
      </c>
      <c r="F95" s="295">
        <f t="shared" si="8"/>
        <v>14.00731648</v>
      </c>
      <c r="G95" s="295">
        <f t="shared" si="9"/>
        <v>16.636874240000001</v>
      </c>
    </row>
    <row r="96" spans="1:7" x14ac:dyDescent="0.2">
      <c r="A96" s="293">
        <v>132</v>
      </c>
      <c r="B96" s="293">
        <v>-2.0939999999999999</v>
      </c>
      <c r="C96" s="293">
        <f t="shared" ref="C96:C98" si="10">C95-(($C$94-$C$99)/5)</f>
        <v>-0.83640000000000003</v>
      </c>
      <c r="D96" s="293">
        <v>5</v>
      </c>
      <c r="E96" s="295">
        <f t="shared" si="7"/>
        <v>10.0304</v>
      </c>
      <c r="F96" s="295">
        <f t="shared" si="8"/>
        <v>9.4511155199999983</v>
      </c>
      <c r="G96" s="295">
        <f t="shared" si="9"/>
        <v>11.729215999999999</v>
      </c>
    </row>
    <row r="97" spans="1:8" x14ac:dyDescent="0.2">
      <c r="A97" s="293">
        <v>133</v>
      </c>
      <c r="B97" s="293">
        <v>-2.093</v>
      </c>
      <c r="C97" s="293">
        <f t="shared" si="10"/>
        <v>-1.2545999999999999</v>
      </c>
      <c r="D97" s="293">
        <v>5</v>
      </c>
      <c r="E97" s="295">
        <f t="shared" si="7"/>
        <v>8.3536000000000001</v>
      </c>
      <c r="F97" s="295">
        <f t="shared" si="8"/>
        <v>5.5978291200000001</v>
      </c>
      <c r="G97" s="295">
        <f t="shared" si="9"/>
        <v>7.5244723199999992</v>
      </c>
    </row>
    <row r="98" spans="1:8" x14ac:dyDescent="0.2">
      <c r="A98" s="293">
        <v>134</v>
      </c>
      <c r="B98" s="293">
        <v>-2.0920000000000001</v>
      </c>
      <c r="C98" s="293">
        <f t="shared" si="10"/>
        <v>-1.6728000000000001</v>
      </c>
      <c r="D98" s="293">
        <v>5</v>
      </c>
      <c r="E98" s="295">
        <f t="shared" si="7"/>
        <v>6.6768000000000001</v>
      </c>
      <c r="F98" s="295">
        <f t="shared" si="8"/>
        <v>2.4474572800000001</v>
      </c>
      <c r="G98" s="295">
        <f t="shared" si="9"/>
        <v>4.0226432000000001</v>
      </c>
    </row>
    <row r="99" spans="1:8" x14ac:dyDescent="0.2">
      <c r="A99" s="293">
        <v>135</v>
      </c>
      <c r="B99" s="293">
        <v>-2.0910000000000002</v>
      </c>
      <c r="C99" s="293">
        <v>-2.0910000000000002</v>
      </c>
      <c r="D99" s="293">
        <v>5</v>
      </c>
      <c r="E99" s="295">
        <f t="shared" si="7"/>
        <v>5</v>
      </c>
      <c r="F99" s="295">
        <f t="shared" si="8"/>
        <v>0</v>
      </c>
      <c r="G99" s="295">
        <f t="shared" si="9"/>
        <v>1.22372864</v>
      </c>
    </row>
    <row r="100" spans="1:8" x14ac:dyDescent="0.2">
      <c r="A100" s="293">
        <v>136</v>
      </c>
      <c r="B100" s="293">
        <v>-2.09</v>
      </c>
      <c r="D100" s="293">
        <v>5</v>
      </c>
      <c r="E100" s="295">
        <f t="shared" si="7"/>
        <v>13.36</v>
      </c>
      <c r="F100" s="295">
        <f t="shared" si="8"/>
        <v>19.186199999999999</v>
      </c>
      <c r="G100" s="295">
        <f t="shared" si="9"/>
        <v>9.5930999999999997</v>
      </c>
    </row>
    <row r="101" spans="1:8" ht="13.5" thickBot="1" x14ac:dyDescent="0.25"/>
    <row r="102" spans="1:8" ht="13.5" thickBot="1" x14ac:dyDescent="0.25">
      <c r="E102" s="297"/>
      <c r="F102" s="298" t="s">
        <v>139</v>
      </c>
      <c r="G102" s="299">
        <f>SUM(G4:G100)</f>
        <v>5583.0896127148126</v>
      </c>
      <c r="H102" s="300" t="s">
        <v>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48"/>
  <sheetViews>
    <sheetView tabSelected="1" topLeftCell="A55" zoomScale="76" zoomScaleNormal="70" workbookViewId="0">
      <selection activeCell="G79" sqref="G79"/>
    </sheetView>
  </sheetViews>
  <sheetFormatPr defaultRowHeight="15" x14ac:dyDescent="0.25"/>
  <cols>
    <col min="1" max="1" width="38.85546875" customWidth="1"/>
    <col min="2" max="2" width="24.85546875" customWidth="1"/>
    <col min="3" max="3" width="18.42578125" customWidth="1"/>
    <col min="4" max="4" width="20.5703125" style="172" bestFit="1" customWidth="1"/>
    <col min="5" max="5" width="67.85546875" bestFit="1" customWidth="1"/>
    <col min="6" max="6" width="16.7109375" style="172" bestFit="1" customWidth="1"/>
    <col min="7" max="7" width="10.42578125" style="144" customWidth="1"/>
    <col min="8" max="8" width="11.42578125" style="144" customWidth="1"/>
    <col min="9" max="9" width="16.85546875" style="144" bestFit="1" customWidth="1"/>
    <col min="10" max="10" width="17.140625" style="144" bestFit="1" customWidth="1"/>
    <col min="11" max="11" width="18" customWidth="1"/>
    <col min="12" max="12" width="26" customWidth="1"/>
    <col min="13" max="13" width="19.42578125" customWidth="1"/>
    <col min="14" max="14" width="16.85546875" customWidth="1"/>
    <col min="15" max="15" width="13.140625" customWidth="1"/>
    <col min="16" max="16" width="21.5703125" bestFit="1" customWidth="1"/>
  </cols>
  <sheetData>
    <row r="1" spans="1:14" s="122" customFormat="1" ht="15.75" thickBot="1" x14ac:dyDescent="0.3">
      <c r="A1" s="122" t="s">
        <v>333</v>
      </c>
      <c r="D1" s="172"/>
      <c r="F1" s="172"/>
      <c r="G1" s="144"/>
      <c r="H1" s="144"/>
      <c r="I1" s="144"/>
      <c r="J1" s="144"/>
    </row>
    <row r="2" spans="1:14" ht="15.75" x14ac:dyDescent="0.25">
      <c r="A2" s="535" t="s">
        <v>319</v>
      </c>
      <c r="F2" s="549"/>
      <c r="G2" s="550" t="s">
        <v>62</v>
      </c>
      <c r="H2" s="551"/>
      <c r="I2" s="551" t="s">
        <v>65</v>
      </c>
      <c r="J2" s="551" t="s">
        <v>64</v>
      </c>
      <c r="K2" s="552"/>
    </row>
    <row r="3" spans="1:14" x14ac:dyDescent="0.25">
      <c r="A3" s="123" t="s">
        <v>341</v>
      </c>
      <c r="F3" s="553"/>
      <c r="G3" s="554"/>
      <c r="H3" s="555" t="s">
        <v>285</v>
      </c>
      <c r="I3" s="554">
        <v>43</v>
      </c>
      <c r="J3" s="125">
        <v>15500</v>
      </c>
      <c r="K3" s="556">
        <f>J3*I3</f>
        <v>666500</v>
      </c>
    </row>
    <row r="4" spans="1:14" x14ac:dyDescent="0.25">
      <c r="F4" s="553"/>
      <c r="G4" s="554"/>
      <c r="H4" s="555" t="s">
        <v>286</v>
      </c>
      <c r="I4" s="554">
        <v>43</v>
      </c>
      <c r="J4" s="125">
        <v>3700</v>
      </c>
      <c r="K4" s="556">
        <f>J4*I4</f>
        <v>159100</v>
      </c>
    </row>
    <row r="5" spans="1:14" s="122" customFormat="1" x14ac:dyDescent="0.25">
      <c r="D5" s="172"/>
      <c r="F5" s="553"/>
      <c r="G5" s="554"/>
      <c r="H5" s="555" t="s">
        <v>287</v>
      </c>
      <c r="I5" s="554">
        <v>1</v>
      </c>
      <c r="J5" s="125">
        <v>88000</v>
      </c>
      <c r="K5" s="556">
        <f>J5*I5</f>
        <v>88000</v>
      </c>
    </row>
    <row r="6" spans="1:14" s="122" customFormat="1" ht="15.75" thickBot="1" x14ac:dyDescent="0.3">
      <c r="D6" s="172"/>
      <c r="F6" s="557"/>
      <c r="G6" s="558"/>
      <c r="H6" s="559" t="s">
        <v>288</v>
      </c>
      <c r="I6" s="558">
        <v>1</v>
      </c>
      <c r="J6" s="560">
        <v>92000</v>
      </c>
      <c r="K6" s="561">
        <f>J6*I6</f>
        <v>92000</v>
      </c>
    </row>
    <row r="7" spans="1:14" s="122" customFormat="1" ht="15.75" thickBot="1" x14ac:dyDescent="0.3">
      <c r="D7" s="172"/>
      <c r="E7" s="124"/>
      <c r="F7" s="173"/>
      <c r="G7" s="144"/>
      <c r="H7" s="114"/>
      <c r="I7" s="144"/>
      <c r="J7" s="144"/>
      <c r="K7" s="562">
        <f>SUM(K3:K6)</f>
        <v>1005600</v>
      </c>
    </row>
    <row r="8" spans="1:14" x14ac:dyDescent="0.25">
      <c r="G8" s="114"/>
    </row>
    <row r="9" spans="1:14" s="20" customFormat="1" ht="30.75" thickBot="1" x14ac:dyDescent="0.3">
      <c r="B9" s="112" t="s">
        <v>39</v>
      </c>
      <c r="C9" s="112"/>
      <c r="D9" s="174" t="s">
        <v>41</v>
      </c>
      <c r="E9" s="112" t="s">
        <v>26</v>
      </c>
      <c r="F9" s="174" t="s">
        <v>28</v>
      </c>
      <c r="G9" s="279" t="s">
        <v>65</v>
      </c>
      <c r="H9" s="251" t="s">
        <v>142</v>
      </c>
      <c r="I9" s="251" t="s">
        <v>64</v>
      </c>
      <c r="J9" s="251" t="s">
        <v>111</v>
      </c>
      <c r="K9" s="112" t="s">
        <v>0</v>
      </c>
    </row>
    <row r="10" spans="1:14" s="20" customFormat="1" ht="16.5" customHeight="1" thickBot="1" x14ac:dyDescent="0.3">
      <c r="A10" s="20" t="s">
        <v>289</v>
      </c>
      <c r="B10" s="573" t="s">
        <v>113</v>
      </c>
      <c r="C10" s="615"/>
      <c r="D10" s="194"/>
      <c r="E10" s="252"/>
      <c r="F10" s="423"/>
      <c r="G10" s="200"/>
      <c r="H10" s="252"/>
      <c r="I10" s="207"/>
      <c r="J10" s="531"/>
      <c r="K10" s="126"/>
      <c r="L10" s="157" t="s">
        <v>79</v>
      </c>
      <c r="N10" s="424">
        <f t="shared" ref="N10:N17" si="0">J52-J10</f>
        <v>0</v>
      </c>
    </row>
    <row r="11" spans="1:14" s="20" customFormat="1" ht="16.5" customHeight="1" thickTop="1" x14ac:dyDescent="0.25">
      <c r="A11" s="20" t="s">
        <v>290</v>
      </c>
      <c r="B11" s="574" t="s">
        <v>127</v>
      </c>
      <c r="C11" s="616"/>
      <c r="D11" s="633"/>
      <c r="E11" s="195" t="s">
        <v>74</v>
      </c>
      <c r="F11" s="196" t="s">
        <v>116</v>
      </c>
      <c r="G11" s="197">
        <v>1</v>
      </c>
      <c r="H11" s="195" t="s">
        <v>27</v>
      </c>
      <c r="I11" s="202">
        <v>30000</v>
      </c>
      <c r="J11" s="275">
        <f t="shared" ref="J11" si="1">I11*G11</f>
        <v>30000</v>
      </c>
      <c r="K11" s="151"/>
      <c r="N11" s="424">
        <f t="shared" si="0"/>
        <v>0</v>
      </c>
    </row>
    <row r="12" spans="1:14" s="20" customFormat="1" ht="16.5" customHeight="1" x14ac:dyDescent="0.25">
      <c r="A12" s="20" t="s">
        <v>302</v>
      </c>
      <c r="B12" s="283"/>
      <c r="C12" s="616"/>
      <c r="D12" s="634"/>
      <c r="E12" s="117" t="s">
        <v>301</v>
      </c>
      <c r="F12" s="175" t="s">
        <v>116</v>
      </c>
      <c r="G12" s="115">
        <v>600</v>
      </c>
      <c r="H12" s="117" t="s">
        <v>27</v>
      </c>
      <c r="I12" s="116">
        <v>3268.8144400000001</v>
      </c>
      <c r="J12" s="546">
        <f>I12*G12</f>
        <v>1961288.6640000001</v>
      </c>
      <c r="K12" s="151"/>
      <c r="N12" s="424">
        <f t="shared" si="0"/>
        <v>0</v>
      </c>
    </row>
    <row r="13" spans="1:14" x14ac:dyDescent="0.25">
      <c r="B13" s="283"/>
      <c r="C13" s="616"/>
      <c r="D13" s="634" t="s">
        <v>45</v>
      </c>
      <c r="E13" s="117" t="s">
        <v>235</v>
      </c>
      <c r="F13" s="175" t="s">
        <v>116</v>
      </c>
      <c r="G13" s="115">
        <v>1</v>
      </c>
      <c r="H13" s="117" t="s">
        <v>33</v>
      </c>
      <c r="I13" s="116">
        <v>27000</v>
      </c>
      <c r="J13" s="276">
        <f t="shared" ref="J13:J26" si="2">I13*G13</f>
        <v>27000</v>
      </c>
      <c r="K13" s="104" t="s">
        <v>39</v>
      </c>
      <c r="L13" s="152" t="s">
        <v>78</v>
      </c>
      <c r="N13" s="424">
        <f t="shared" si="0"/>
        <v>3000</v>
      </c>
    </row>
    <row r="14" spans="1:14" s="122" customFormat="1" x14ac:dyDescent="0.25">
      <c r="A14" s="122" t="s">
        <v>291</v>
      </c>
      <c r="B14" s="283"/>
      <c r="C14" s="616"/>
      <c r="D14" s="634"/>
      <c r="E14" s="171" t="s">
        <v>76</v>
      </c>
      <c r="F14" s="175" t="s">
        <v>116</v>
      </c>
      <c r="G14" s="115">
        <v>14</v>
      </c>
      <c r="H14" s="117" t="s">
        <v>83</v>
      </c>
      <c r="I14" s="116">
        <v>18000</v>
      </c>
      <c r="J14" s="276">
        <f t="shared" si="2"/>
        <v>252000</v>
      </c>
      <c r="K14" s="104"/>
      <c r="N14" s="424">
        <f t="shared" si="0"/>
        <v>0</v>
      </c>
    </row>
    <row r="15" spans="1:14" s="122" customFormat="1" x14ac:dyDescent="0.25">
      <c r="A15" s="122" t="s">
        <v>293</v>
      </c>
      <c r="B15" s="283"/>
      <c r="C15" s="616"/>
      <c r="D15" s="634"/>
      <c r="E15" s="117" t="s">
        <v>75</v>
      </c>
      <c r="F15" s="175" t="s">
        <v>116</v>
      </c>
      <c r="G15" s="115">
        <v>1</v>
      </c>
      <c r="H15" s="117" t="s">
        <v>33</v>
      </c>
      <c r="I15" s="116">
        <v>100000</v>
      </c>
      <c r="J15" s="276">
        <f t="shared" si="2"/>
        <v>100000</v>
      </c>
      <c r="K15" s="104"/>
      <c r="N15" s="424">
        <f t="shared" si="0"/>
        <v>0</v>
      </c>
    </row>
    <row r="16" spans="1:14" s="122" customFormat="1" ht="15.75" thickBot="1" x14ac:dyDescent="0.3">
      <c r="A16" s="122" t="s">
        <v>294</v>
      </c>
      <c r="B16" s="283"/>
      <c r="C16" s="616" t="s">
        <v>40</v>
      </c>
      <c r="D16" s="635"/>
      <c r="E16" s="198" t="s">
        <v>70</v>
      </c>
      <c r="F16" s="199" t="s">
        <v>116</v>
      </c>
      <c r="G16" s="200">
        <v>36000</v>
      </c>
      <c r="H16" s="253" t="s">
        <v>6</v>
      </c>
      <c r="I16" s="201">
        <v>30.94</v>
      </c>
      <c r="J16" s="201">
        <f t="shared" si="2"/>
        <v>1113840</v>
      </c>
      <c r="K16" s="104"/>
      <c r="N16" s="424">
        <f t="shared" si="0"/>
        <v>0</v>
      </c>
    </row>
    <row r="17" spans="1:14" ht="15.75" thickTop="1" x14ac:dyDescent="0.25">
      <c r="A17" s="122" t="s">
        <v>298</v>
      </c>
      <c r="B17" s="283"/>
      <c r="C17" s="616"/>
      <c r="D17" s="657" t="s">
        <v>46</v>
      </c>
      <c r="E17" s="195" t="s">
        <v>69</v>
      </c>
      <c r="F17" s="196" t="s">
        <v>116</v>
      </c>
      <c r="G17" s="197">
        <f>'Short Rock Volumes'!G102</f>
        <v>1697.4313263814806</v>
      </c>
      <c r="H17" s="195" t="s">
        <v>6</v>
      </c>
      <c r="I17" s="202">
        <v>166.39193969999999</v>
      </c>
      <c r="J17" s="202">
        <f>I17*G17</f>
        <v>282438.89090415835</v>
      </c>
      <c r="K17" s="104"/>
      <c r="N17" s="424">
        <f t="shared" si="0"/>
        <v>646542.21927438106</v>
      </c>
    </row>
    <row r="18" spans="1:14" s="122" customFormat="1" x14ac:dyDescent="0.25">
      <c r="A18" s="122" t="s">
        <v>300</v>
      </c>
      <c r="B18" s="283"/>
      <c r="C18" s="616"/>
      <c r="D18" s="658"/>
      <c r="E18" s="117" t="s">
        <v>299</v>
      </c>
      <c r="F18" s="175"/>
      <c r="G18" s="115">
        <v>1</v>
      </c>
      <c r="H18" s="117" t="s">
        <v>83</v>
      </c>
      <c r="I18" s="116">
        <v>110000</v>
      </c>
      <c r="J18" s="116">
        <f>G18*I18</f>
        <v>110000</v>
      </c>
      <c r="K18" s="104"/>
      <c r="N18" s="424"/>
    </row>
    <row r="19" spans="1:14" s="122" customFormat="1" x14ac:dyDescent="0.25">
      <c r="A19" s="122" t="s">
        <v>297</v>
      </c>
      <c r="B19" s="283"/>
      <c r="C19" s="616"/>
      <c r="D19" s="658"/>
      <c r="E19" s="117" t="s">
        <v>176</v>
      </c>
      <c r="F19" s="175"/>
      <c r="G19" s="115">
        <v>1</v>
      </c>
      <c r="H19" s="117" t="s">
        <v>83</v>
      </c>
      <c r="I19" s="116">
        <v>1813000</v>
      </c>
      <c r="J19" s="116">
        <f>G19*I19</f>
        <v>1813000</v>
      </c>
      <c r="K19" s="104"/>
      <c r="L19" s="156"/>
      <c r="N19" s="424">
        <f>J61-J19</f>
        <v>0</v>
      </c>
    </row>
    <row r="20" spans="1:14" s="122" customFormat="1" x14ac:dyDescent="0.25">
      <c r="A20" s="122" t="s">
        <v>296</v>
      </c>
      <c r="B20" s="283"/>
      <c r="C20" s="616"/>
      <c r="D20" s="658"/>
      <c r="E20" s="117" t="s">
        <v>84</v>
      </c>
      <c r="F20" s="175" t="s">
        <v>116</v>
      </c>
      <c r="G20" s="115">
        <v>1</v>
      </c>
      <c r="H20" s="117" t="s">
        <v>27</v>
      </c>
      <c r="I20" s="116">
        <v>500000</v>
      </c>
      <c r="J20" s="116">
        <f t="shared" si="2"/>
        <v>500000</v>
      </c>
      <c r="K20" s="104"/>
      <c r="L20" s="156"/>
      <c r="N20" s="424">
        <f>J62-J20</f>
        <v>0</v>
      </c>
    </row>
    <row r="21" spans="1:14" s="122" customFormat="1" ht="15.75" thickBot="1" x14ac:dyDescent="0.3">
      <c r="A21" s="122" t="s">
        <v>294</v>
      </c>
      <c r="B21" s="283"/>
      <c r="C21" s="616"/>
      <c r="D21" s="659"/>
      <c r="E21" s="203" t="s">
        <v>70</v>
      </c>
      <c r="F21" s="204" t="s">
        <v>116</v>
      </c>
      <c r="G21" s="205">
        <f>'Re-nourishment-Recycling rates'!C8</f>
        <v>20000</v>
      </c>
      <c r="H21" s="254" t="s">
        <v>6</v>
      </c>
      <c r="I21" s="206">
        <v>30.94</v>
      </c>
      <c r="J21" s="206">
        <f t="shared" si="2"/>
        <v>618800</v>
      </c>
      <c r="K21" s="104"/>
      <c r="L21" s="156"/>
      <c r="N21" s="424">
        <f>J63-J21</f>
        <v>193375</v>
      </c>
    </row>
    <row r="22" spans="1:14" ht="16.5" thickTop="1" thickBot="1" x14ac:dyDescent="0.3">
      <c r="A22" t="s">
        <v>295</v>
      </c>
      <c r="B22" s="283"/>
      <c r="C22" s="617"/>
      <c r="D22" s="165" t="s">
        <v>73</v>
      </c>
      <c r="E22" s="168" t="s">
        <v>72</v>
      </c>
      <c r="F22" s="176" t="s">
        <v>116</v>
      </c>
      <c r="G22" s="169">
        <v>1</v>
      </c>
      <c r="H22" s="168" t="s">
        <v>33</v>
      </c>
      <c r="I22" s="170">
        <v>443487.15</v>
      </c>
      <c r="J22" s="170">
        <f t="shared" si="2"/>
        <v>443487.15</v>
      </c>
      <c r="K22" s="111">
        <f>SUM(J10:J22)</f>
        <v>7251854.7049041586</v>
      </c>
      <c r="L22" s="153" t="s">
        <v>80</v>
      </c>
      <c r="N22" s="424">
        <f>J64-J22</f>
        <v>0</v>
      </c>
    </row>
    <row r="23" spans="1:14" s="122" customFormat="1" ht="15.75" thickBot="1" x14ac:dyDescent="0.3">
      <c r="B23" s="283"/>
      <c r="C23" s="304"/>
      <c r="D23" s="305"/>
      <c r="E23" s="306"/>
      <c r="F23" s="307"/>
      <c r="G23" s="308"/>
      <c r="H23" s="306"/>
      <c r="I23" s="309"/>
      <c r="J23" s="309"/>
      <c r="K23" s="310"/>
      <c r="L23" s="153"/>
    </row>
    <row r="24" spans="1:14" ht="15" customHeight="1" thickTop="1" x14ac:dyDescent="0.25">
      <c r="B24" s="283"/>
      <c r="C24" s="656" t="s">
        <v>49</v>
      </c>
      <c r="D24" s="655" t="s">
        <v>45</v>
      </c>
      <c r="E24" s="311" t="s">
        <v>77</v>
      </c>
      <c r="F24" s="312">
        <v>10</v>
      </c>
      <c r="G24" s="314">
        <v>14</v>
      </c>
      <c r="H24" s="313" t="s">
        <v>33</v>
      </c>
      <c r="I24" s="315">
        <v>2000</v>
      </c>
      <c r="J24" s="315">
        <f t="shared" si="2"/>
        <v>28000</v>
      </c>
      <c r="K24" s="310"/>
      <c r="L24" t="s">
        <v>51</v>
      </c>
    </row>
    <row r="25" spans="1:14" s="122" customFormat="1" ht="15" customHeight="1" x14ac:dyDescent="0.25">
      <c r="B25" s="283"/>
      <c r="C25" s="656"/>
      <c r="D25" s="656"/>
      <c r="E25" s="316" t="s">
        <v>343</v>
      </c>
      <c r="F25" s="317">
        <v>50</v>
      </c>
      <c r="G25" s="319">
        <v>1</v>
      </c>
      <c r="H25" s="318" t="s">
        <v>33</v>
      </c>
      <c r="I25" s="320">
        <v>27000</v>
      </c>
      <c r="J25" s="320">
        <f t="shared" si="2"/>
        <v>27000</v>
      </c>
      <c r="K25" s="310"/>
    </row>
    <row r="26" spans="1:14" s="122" customFormat="1" ht="15" customHeight="1" x14ac:dyDescent="0.25">
      <c r="B26" s="283"/>
      <c r="C26" s="656"/>
      <c r="D26" s="656"/>
      <c r="E26" s="316" t="s">
        <v>342</v>
      </c>
      <c r="F26" s="317">
        <v>10</v>
      </c>
      <c r="G26" s="319">
        <v>1</v>
      </c>
      <c r="H26" s="318" t="s">
        <v>33</v>
      </c>
      <c r="I26" s="320">
        <v>1000</v>
      </c>
      <c r="J26" s="320">
        <f t="shared" si="2"/>
        <v>1000</v>
      </c>
      <c r="K26" s="310"/>
    </row>
    <row r="27" spans="1:14" s="122" customFormat="1" ht="15" customHeight="1" x14ac:dyDescent="0.25">
      <c r="B27" s="283"/>
      <c r="C27" s="656"/>
      <c r="D27" s="656"/>
      <c r="E27" s="316" t="s">
        <v>70</v>
      </c>
      <c r="F27" s="317">
        <v>10</v>
      </c>
      <c r="G27" s="319">
        <f>G16*0.9</f>
        <v>32400</v>
      </c>
      <c r="H27" s="318" t="s">
        <v>6</v>
      </c>
      <c r="I27" s="320">
        <v>31.9</v>
      </c>
      <c r="J27" s="320">
        <f t="shared" ref="J27" si="3">I27*G27</f>
        <v>1033560</v>
      </c>
      <c r="K27" s="310"/>
    </row>
    <row r="28" spans="1:14" s="122" customFormat="1" ht="15" customHeight="1" thickBot="1" x14ac:dyDescent="0.3">
      <c r="B28" s="283"/>
      <c r="C28" s="656"/>
      <c r="D28" s="656"/>
      <c r="E28" s="341" t="s">
        <v>143</v>
      </c>
      <c r="F28" s="427">
        <v>1</v>
      </c>
      <c r="G28" s="428">
        <f>G16*0.1</f>
        <v>3600</v>
      </c>
      <c r="H28" s="425" t="s">
        <v>6</v>
      </c>
      <c r="I28" s="426">
        <v>8</v>
      </c>
      <c r="J28" s="426">
        <f>I28*G28</f>
        <v>28800</v>
      </c>
      <c r="K28" s="310"/>
    </row>
    <row r="29" spans="1:14" ht="16.5" thickTop="1" thickBot="1" x14ac:dyDescent="0.3">
      <c r="B29" s="283"/>
      <c r="C29" s="656"/>
      <c r="D29" s="322" t="s">
        <v>46</v>
      </c>
      <c r="E29" s="323" t="s">
        <v>70</v>
      </c>
      <c r="F29" s="324">
        <v>10</v>
      </c>
      <c r="G29" s="326">
        <v>6600</v>
      </c>
      <c r="H29" s="325" t="s">
        <v>6</v>
      </c>
      <c r="I29" s="327">
        <v>31.9</v>
      </c>
      <c r="J29" s="327">
        <f>I29*G29</f>
        <v>210540</v>
      </c>
      <c r="K29" s="310"/>
      <c r="L29" t="s">
        <v>53</v>
      </c>
    </row>
    <row r="30" spans="1:14" ht="16.5" thickTop="1" thickBot="1" x14ac:dyDescent="0.3">
      <c r="A30" t="s">
        <v>39</v>
      </c>
      <c r="B30" s="284"/>
      <c r="C30" s="672"/>
      <c r="D30" s="328" t="s">
        <v>47</v>
      </c>
      <c r="E30" s="329" t="s">
        <v>50</v>
      </c>
      <c r="F30" s="330">
        <v>30</v>
      </c>
      <c r="G30" s="331">
        <v>1</v>
      </c>
      <c r="H30" s="331" t="s">
        <v>27</v>
      </c>
      <c r="I30" s="332">
        <v>100000</v>
      </c>
      <c r="J30" s="332">
        <f>I30*G30</f>
        <v>100000</v>
      </c>
      <c r="K30" s="333"/>
      <c r="L30" s="153" t="s">
        <v>52</v>
      </c>
    </row>
    <row r="31" spans="1:14" ht="15.75" customHeight="1" thickBot="1" x14ac:dyDescent="0.3">
      <c r="A31" s="20" t="s">
        <v>289</v>
      </c>
      <c r="B31" s="571" t="s">
        <v>114</v>
      </c>
      <c r="C31" s="618"/>
      <c r="D31" s="208"/>
      <c r="E31" s="209"/>
      <c r="F31" s="421"/>
      <c r="G31" s="217"/>
      <c r="H31" s="209"/>
      <c r="I31" s="210"/>
      <c r="J31" s="210"/>
      <c r="K31" s="129"/>
      <c r="L31" s="97"/>
    </row>
    <row r="32" spans="1:14" ht="15.75" thickTop="1" x14ac:dyDescent="0.25">
      <c r="A32" s="20" t="s">
        <v>290</v>
      </c>
      <c r="B32" s="572" t="s">
        <v>130</v>
      </c>
      <c r="C32" s="619"/>
      <c r="D32" s="630"/>
      <c r="E32" s="128" t="s">
        <v>74</v>
      </c>
      <c r="F32" s="211" t="s">
        <v>116</v>
      </c>
      <c r="G32" s="127">
        <v>1</v>
      </c>
      <c r="H32" s="128" t="s">
        <v>27</v>
      </c>
      <c r="I32" s="145">
        <v>30000</v>
      </c>
      <c r="J32" s="277">
        <f t="shared" ref="J32" si="4">I32*G32</f>
        <v>30000</v>
      </c>
      <c r="K32" s="120"/>
      <c r="L32" s="97"/>
    </row>
    <row r="33" spans="1:12" ht="30" x14ac:dyDescent="0.25">
      <c r="A33" s="20" t="s">
        <v>302</v>
      </c>
      <c r="B33" s="285"/>
      <c r="C33" s="619"/>
      <c r="D33" s="631"/>
      <c r="E33" s="118" t="s">
        <v>301</v>
      </c>
      <c r="F33" s="177" t="s">
        <v>116</v>
      </c>
      <c r="G33" s="127">
        <v>600</v>
      </c>
      <c r="H33" s="118" t="s">
        <v>27</v>
      </c>
      <c r="I33" s="119">
        <v>3268.8144400000001</v>
      </c>
      <c r="J33" s="545">
        <f>I33*G33</f>
        <v>1961288.6640000001</v>
      </c>
      <c r="K33" s="120"/>
      <c r="L33" s="97"/>
    </row>
    <row r="34" spans="1:12" x14ac:dyDescent="0.25">
      <c r="A34" s="122"/>
      <c r="B34" s="285"/>
      <c r="C34" s="619"/>
      <c r="D34" s="631" t="s">
        <v>45</v>
      </c>
      <c r="E34" s="118" t="s">
        <v>235</v>
      </c>
      <c r="F34" s="177" t="s">
        <v>116</v>
      </c>
      <c r="G34" s="127">
        <v>1</v>
      </c>
      <c r="H34" s="118" t="s">
        <v>33</v>
      </c>
      <c r="I34" s="119">
        <v>27000</v>
      </c>
      <c r="J34" s="545">
        <f t="shared" ref="J34" si="5">I34*G34</f>
        <v>27000</v>
      </c>
      <c r="K34" s="120"/>
      <c r="L34" s="97"/>
    </row>
    <row r="35" spans="1:12" s="122" customFormat="1" x14ac:dyDescent="0.25">
      <c r="A35" s="122" t="s">
        <v>291</v>
      </c>
      <c r="B35" s="285"/>
      <c r="C35" s="619"/>
      <c r="D35" s="631"/>
      <c r="E35" s="190" t="s">
        <v>76</v>
      </c>
      <c r="F35" s="177" t="s">
        <v>116</v>
      </c>
      <c r="G35" s="127">
        <v>14</v>
      </c>
      <c r="H35" s="118" t="s">
        <v>83</v>
      </c>
      <c r="I35" s="119">
        <v>18000</v>
      </c>
      <c r="J35" s="278">
        <f>I35*G35</f>
        <v>252000</v>
      </c>
      <c r="K35" s="120"/>
      <c r="L35" s="97"/>
    </row>
    <row r="36" spans="1:12" s="122" customFormat="1" x14ac:dyDescent="0.25">
      <c r="A36" s="122" t="s">
        <v>293</v>
      </c>
      <c r="B36" s="285"/>
      <c r="C36" s="619"/>
      <c r="D36" s="631"/>
      <c r="E36" s="118" t="s">
        <v>75</v>
      </c>
      <c r="F36" s="177" t="s">
        <v>116</v>
      </c>
      <c r="G36" s="127">
        <v>1</v>
      </c>
      <c r="H36" s="118" t="s">
        <v>33</v>
      </c>
      <c r="I36" s="119">
        <v>100000</v>
      </c>
      <c r="J36" s="278">
        <f>I36*G36</f>
        <v>100000</v>
      </c>
      <c r="K36" s="120"/>
      <c r="L36" s="97"/>
    </row>
    <row r="37" spans="1:12" s="122" customFormat="1" ht="15.75" thickBot="1" x14ac:dyDescent="0.3">
      <c r="A37" s="122" t="s">
        <v>294</v>
      </c>
      <c r="B37" s="285"/>
      <c r="C37" s="619" t="s">
        <v>40</v>
      </c>
      <c r="D37" s="632"/>
      <c r="E37" s="212" t="s">
        <v>70</v>
      </c>
      <c r="F37" s="213" t="s">
        <v>116</v>
      </c>
      <c r="G37" s="214">
        <f>$G$16</f>
        <v>36000</v>
      </c>
      <c r="H37" s="255" t="s">
        <v>6</v>
      </c>
      <c r="I37" s="215">
        <v>30.94</v>
      </c>
      <c r="J37" s="215">
        <f>I37*G37</f>
        <v>1113840</v>
      </c>
      <c r="K37" s="120"/>
      <c r="L37" s="97"/>
    </row>
    <row r="38" spans="1:12" s="122" customFormat="1" ht="15.75" thickTop="1" x14ac:dyDescent="0.25">
      <c r="A38" s="122" t="s">
        <v>298</v>
      </c>
      <c r="B38" s="285"/>
      <c r="C38" s="619"/>
      <c r="D38" s="665" t="s">
        <v>46</v>
      </c>
      <c r="E38" s="128" t="s">
        <v>43</v>
      </c>
      <c r="F38" s="211" t="s">
        <v>116</v>
      </c>
      <c r="G38" s="422">
        <f>'Short Rock Volumes'!G102*2</f>
        <v>3394.8626527629613</v>
      </c>
      <c r="H38" s="128" t="s">
        <v>6</v>
      </c>
      <c r="I38" s="145">
        <v>166.39193969999999</v>
      </c>
      <c r="J38" s="145">
        <f>G38*I38</f>
        <v>564877.78180831671</v>
      </c>
      <c r="K38" s="120"/>
      <c r="L38" s="97"/>
    </row>
    <row r="39" spans="1:12" s="122" customFormat="1" x14ac:dyDescent="0.25">
      <c r="A39" s="122" t="s">
        <v>300</v>
      </c>
      <c r="B39" s="285"/>
      <c r="C39" s="619"/>
      <c r="D39" s="666"/>
      <c r="E39" s="118" t="s">
        <v>299</v>
      </c>
      <c r="F39" s="177"/>
      <c r="G39" s="118">
        <v>1</v>
      </c>
      <c r="H39" s="118" t="s">
        <v>83</v>
      </c>
      <c r="I39" s="119">
        <v>110000</v>
      </c>
      <c r="J39" s="119">
        <f>G39*I39</f>
        <v>110000</v>
      </c>
      <c r="K39" s="120"/>
      <c r="L39" s="97"/>
    </row>
    <row r="40" spans="1:12" s="122" customFormat="1" x14ac:dyDescent="0.25">
      <c r="A40" s="122" t="s">
        <v>297</v>
      </c>
      <c r="B40" s="285"/>
      <c r="C40" s="619"/>
      <c r="D40" s="666"/>
      <c r="E40" s="118" t="s">
        <v>176</v>
      </c>
      <c r="F40" s="177"/>
      <c r="G40" s="118">
        <v>1</v>
      </c>
      <c r="H40" s="118" t="s">
        <v>83</v>
      </c>
      <c r="I40" s="119">
        <v>1813000</v>
      </c>
      <c r="J40" s="119">
        <f>G40*I40</f>
        <v>1813000</v>
      </c>
      <c r="K40" s="120"/>
      <c r="L40" s="97"/>
    </row>
    <row r="41" spans="1:12" s="122" customFormat="1" x14ac:dyDescent="0.25">
      <c r="A41" s="122" t="s">
        <v>296</v>
      </c>
      <c r="B41" s="285"/>
      <c r="C41" s="619"/>
      <c r="D41" s="666"/>
      <c r="E41" s="118" t="s">
        <v>112</v>
      </c>
      <c r="F41" s="177" t="s">
        <v>116</v>
      </c>
      <c r="G41" s="118">
        <v>1</v>
      </c>
      <c r="H41" s="118" t="s">
        <v>27</v>
      </c>
      <c r="I41" s="119">
        <v>500000</v>
      </c>
      <c r="J41" s="119">
        <f>G41*I41</f>
        <v>500000</v>
      </c>
      <c r="K41" s="120"/>
      <c r="L41" s="97"/>
    </row>
    <row r="42" spans="1:12" s="122" customFormat="1" ht="15.75" thickBot="1" x14ac:dyDescent="0.3">
      <c r="A42" s="122" t="s">
        <v>294</v>
      </c>
      <c r="B42" s="285"/>
      <c r="C42" s="619"/>
      <c r="D42" s="667"/>
      <c r="E42" s="255" t="s">
        <v>70</v>
      </c>
      <c r="F42" s="213" t="s">
        <v>116</v>
      </c>
      <c r="G42" s="214">
        <f>'Re-nourishment-Recycling rates'!D8</f>
        <v>20000</v>
      </c>
      <c r="H42" s="255" t="s">
        <v>6</v>
      </c>
      <c r="I42" s="215">
        <v>30.94</v>
      </c>
      <c r="J42" s="216">
        <f>G42*I42</f>
        <v>618800</v>
      </c>
      <c r="K42" s="120"/>
      <c r="L42" s="97"/>
    </row>
    <row r="43" spans="1:12" s="122" customFormat="1" ht="16.5" thickTop="1" thickBot="1" x14ac:dyDescent="0.3">
      <c r="A43" s="122" t="s">
        <v>295</v>
      </c>
      <c r="B43" s="285"/>
      <c r="C43" s="620"/>
      <c r="D43" s="166" t="s">
        <v>73</v>
      </c>
      <c r="E43" s="189" t="s">
        <v>72</v>
      </c>
      <c r="F43" s="178" t="s">
        <v>116</v>
      </c>
      <c r="G43" s="188">
        <v>1</v>
      </c>
      <c r="H43" s="189" t="s">
        <v>33</v>
      </c>
      <c r="I43" s="133">
        <v>443487.15</v>
      </c>
      <c r="J43" s="133">
        <f>I43*G43</f>
        <v>443487.15</v>
      </c>
      <c r="K43" s="110">
        <f>SUM(J31:J43)</f>
        <v>7534293.595808317</v>
      </c>
      <c r="L43" s="97"/>
    </row>
    <row r="44" spans="1:12" ht="15.75" thickBot="1" x14ac:dyDescent="0.3">
      <c r="B44" s="285"/>
      <c r="C44" s="656" t="s">
        <v>49</v>
      </c>
      <c r="D44" s="305"/>
      <c r="E44" s="306"/>
      <c r="F44" s="307"/>
      <c r="G44" s="308"/>
      <c r="H44" s="306"/>
      <c r="I44" s="309"/>
      <c r="J44" s="309"/>
      <c r="K44" s="334"/>
    </row>
    <row r="45" spans="1:12" ht="15.75" thickTop="1" x14ac:dyDescent="0.25">
      <c r="B45" s="285"/>
      <c r="C45" s="656"/>
      <c r="D45" s="663" t="s">
        <v>45</v>
      </c>
      <c r="E45" s="311" t="s">
        <v>77</v>
      </c>
      <c r="F45" s="312">
        <v>10</v>
      </c>
      <c r="G45" s="314">
        <v>14</v>
      </c>
      <c r="H45" s="313" t="s">
        <v>33</v>
      </c>
      <c r="I45" s="315">
        <v>2000</v>
      </c>
      <c r="J45" s="315">
        <f>I45*G45</f>
        <v>28000</v>
      </c>
      <c r="K45" s="321"/>
    </row>
    <row r="46" spans="1:12" s="122" customFormat="1" x14ac:dyDescent="0.25">
      <c r="B46" s="285"/>
      <c r="C46" s="656"/>
      <c r="D46" s="664"/>
      <c r="E46" s="316" t="s">
        <v>343</v>
      </c>
      <c r="F46" s="317">
        <v>50</v>
      </c>
      <c r="G46" s="319">
        <v>1</v>
      </c>
      <c r="H46" s="318" t="s">
        <v>33</v>
      </c>
      <c r="I46" s="320">
        <v>27000</v>
      </c>
      <c r="J46" s="320">
        <f t="shared" ref="J46:J47" si="6">I46*G46</f>
        <v>27000</v>
      </c>
      <c r="K46" s="321"/>
    </row>
    <row r="47" spans="1:12" s="122" customFormat="1" x14ac:dyDescent="0.25">
      <c r="B47" s="285"/>
      <c r="C47" s="656"/>
      <c r="D47" s="664"/>
      <c r="E47" s="316" t="s">
        <v>342</v>
      </c>
      <c r="F47" s="317">
        <v>10</v>
      </c>
      <c r="G47" s="319">
        <v>1</v>
      </c>
      <c r="H47" s="318" t="s">
        <v>33</v>
      </c>
      <c r="I47" s="320">
        <v>1000</v>
      </c>
      <c r="J47" s="320">
        <f t="shared" si="6"/>
        <v>1000</v>
      </c>
      <c r="K47" s="321"/>
    </row>
    <row r="48" spans="1:12" s="122" customFormat="1" x14ac:dyDescent="0.25">
      <c r="B48" s="285"/>
      <c r="C48" s="656"/>
      <c r="D48" s="664"/>
      <c r="E48" s="335" t="s">
        <v>70</v>
      </c>
      <c r="F48" s="317">
        <v>10</v>
      </c>
      <c r="G48" s="319">
        <f>G37*0.85</f>
        <v>30600</v>
      </c>
      <c r="H48" s="318" t="s">
        <v>6</v>
      </c>
      <c r="I48" s="320">
        <v>31.9</v>
      </c>
      <c r="J48" s="320">
        <f>G48*I48</f>
        <v>976140</v>
      </c>
      <c r="K48" s="321"/>
    </row>
    <row r="49" spans="1:16" s="122" customFormat="1" ht="15.75" thickBot="1" x14ac:dyDescent="0.3">
      <c r="B49" s="285"/>
      <c r="C49" s="656"/>
      <c r="D49" s="664"/>
      <c r="E49" s="341" t="s">
        <v>143</v>
      </c>
      <c r="F49" s="427">
        <v>1</v>
      </c>
      <c r="G49" s="429">
        <f>0.15*G37</f>
        <v>5400</v>
      </c>
      <c r="H49" s="425" t="s">
        <v>6</v>
      </c>
      <c r="I49" s="426">
        <v>8</v>
      </c>
      <c r="J49" s="426">
        <f>G49*I49</f>
        <v>43200</v>
      </c>
      <c r="K49" s="321"/>
    </row>
    <row r="50" spans="1:16" s="122" customFormat="1" ht="16.5" thickTop="1" thickBot="1" x14ac:dyDescent="0.3">
      <c r="B50" s="285"/>
      <c r="C50" s="656"/>
      <c r="D50" s="336" t="s">
        <v>46</v>
      </c>
      <c r="E50" s="337" t="s">
        <v>70</v>
      </c>
      <c r="F50" s="324">
        <v>10</v>
      </c>
      <c r="G50" s="326">
        <v>5000</v>
      </c>
      <c r="H50" s="325" t="s">
        <v>6</v>
      </c>
      <c r="I50" s="327">
        <v>31.9</v>
      </c>
      <c r="J50" s="327">
        <f>G50*I50</f>
        <v>159500</v>
      </c>
      <c r="K50" s="321"/>
      <c r="L50" s="154"/>
    </row>
    <row r="51" spans="1:16" ht="16.5" thickTop="1" thickBot="1" x14ac:dyDescent="0.3">
      <c r="B51" s="286"/>
      <c r="C51" s="672"/>
      <c r="D51" s="338" t="s">
        <v>47</v>
      </c>
      <c r="E51" s="339" t="s">
        <v>50</v>
      </c>
      <c r="F51" s="330">
        <v>30</v>
      </c>
      <c r="G51" s="331">
        <v>1</v>
      </c>
      <c r="H51" s="331" t="s">
        <v>27</v>
      </c>
      <c r="I51" s="332">
        <v>100000</v>
      </c>
      <c r="J51" s="332">
        <f t="shared" ref="J51:J79" si="7">G51*I51</f>
        <v>100000</v>
      </c>
      <c r="K51" s="333"/>
      <c r="L51" t="s">
        <v>54</v>
      </c>
    </row>
    <row r="52" spans="1:16" ht="15.75" customHeight="1" thickBot="1" x14ac:dyDescent="0.3">
      <c r="A52" s="20" t="s">
        <v>289</v>
      </c>
      <c r="B52" s="569" t="s">
        <v>115</v>
      </c>
      <c r="C52" s="621"/>
      <c r="D52" s="218"/>
      <c r="E52" s="219"/>
      <c r="F52" s="220"/>
      <c r="G52" s="227"/>
      <c r="H52" s="226"/>
      <c r="I52" s="221"/>
      <c r="J52" s="221"/>
      <c r="K52" s="98"/>
    </row>
    <row r="53" spans="1:16" ht="15.75" thickTop="1" x14ac:dyDescent="0.25">
      <c r="A53" s="20" t="s">
        <v>290</v>
      </c>
      <c r="B53" s="570" t="s">
        <v>129</v>
      </c>
      <c r="C53" s="622"/>
      <c r="D53" s="637"/>
      <c r="E53" s="130" t="s">
        <v>74</v>
      </c>
      <c r="F53" s="179" t="s">
        <v>116</v>
      </c>
      <c r="G53" s="257">
        <v>1</v>
      </c>
      <c r="H53" s="256" t="s">
        <v>33</v>
      </c>
      <c r="I53" s="142">
        <v>30000</v>
      </c>
      <c r="J53" s="142">
        <f t="shared" si="7"/>
        <v>30000</v>
      </c>
      <c r="K53" s="98"/>
    </row>
    <row r="54" spans="1:16" s="122" customFormat="1" ht="30" x14ac:dyDescent="0.25">
      <c r="A54" s="20" t="s">
        <v>302</v>
      </c>
      <c r="B54" s="287"/>
      <c r="C54" s="622"/>
      <c r="D54" s="622"/>
      <c r="E54" s="99" t="s">
        <v>301</v>
      </c>
      <c r="F54" s="99" t="s">
        <v>116</v>
      </c>
      <c r="G54" s="259">
        <v>600</v>
      </c>
      <c r="H54" s="258" t="s">
        <v>27</v>
      </c>
      <c r="I54" s="544">
        <v>3268.8144400000001</v>
      </c>
      <c r="J54" s="143">
        <f>I54*G54</f>
        <v>1961288.6640000001</v>
      </c>
      <c r="K54" s="98"/>
    </row>
    <row r="55" spans="1:16" s="122" customFormat="1" x14ac:dyDescent="0.25">
      <c r="B55" s="287"/>
      <c r="C55" s="622"/>
      <c r="D55" s="622" t="s">
        <v>45</v>
      </c>
      <c r="E55" s="258" t="s">
        <v>235</v>
      </c>
      <c r="F55" s="258" t="s">
        <v>116</v>
      </c>
      <c r="G55" s="258">
        <v>1</v>
      </c>
      <c r="H55" s="258" t="s">
        <v>33</v>
      </c>
      <c r="I55" s="143">
        <v>27000</v>
      </c>
      <c r="J55" s="143">
        <v>30000</v>
      </c>
      <c r="K55" s="98"/>
      <c r="L55" s="122" t="s">
        <v>239</v>
      </c>
    </row>
    <row r="56" spans="1:16" s="122" customFormat="1" x14ac:dyDescent="0.25">
      <c r="A56" s="122" t="s">
        <v>291</v>
      </c>
      <c r="B56" s="287"/>
      <c r="C56" s="622"/>
      <c r="D56" s="622"/>
      <c r="E56" s="99" t="s">
        <v>76</v>
      </c>
      <c r="F56" s="180" t="s">
        <v>116</v>
      </c>
      <c r="G56" s="259">
        <v>14</v>
      </c>
      <c r="H56" s="258" t="s">
        <v>83</v>
      </c>
      <c r="I56" s="143">
        <v>18000</v>
      </c>
      <c r="J56" s="143">
        <f t="shared" si="7"/>
        <v>252000</v>
      </c>
      <c r="K56" s="98"/>
      <c r="L56" s="374" t="s">
        <v>240</v>
      </c>
    </row>
    <row r="57" spans="1:16" s="122" customFormat="1" x14ac:dyDescent="0.25">
      <c r="A57" s="122" t="s">
        <v>293</v>
      </c>
      <c r="B57" s="287"/>
      <c r="C57" s="622"/>
      <c r="D57" s="622"/>
      <c r="E57" s="99" t="s">
        <v>75</v>
      </c>
      <c r="F57" s="180" t="s">
        <v>116</v>
      </c>
      <c r="G57" s="259">
        <v>1</v>
      </c>
      <c r="H57" s="258" t="s">
        <v>27</v>
      </c>
      <c r="I57" s="143">
        <v>100000</v>
      </c>
      <c r="J57" s="143">
        <f t="shared" si="7"/>
        <v>100000</v>
      </c>
      <c r="K57" s="98"/>
    </row>
    <row r="58" spans="1:16" s="122" customFormat="1" ht="15.75" thickBot="1" x14ac:dyDescent="0.3">
      <c r="A58" s="122" t="s">
        <v>294</v>
      </c>
      <c r="B58" s="287"/>
      <c r="C58" s="622" t="s">
        <v>40</v>
      </c>
      <c r="D58" s="636"/>
      <c r="E58" s="222" t="s">
        <v>70</v>
      </c>
      <c r="F58" s="223" t="s">
        <v>116</v>
      </c>
      <c r="G58" s="224">
        <f>$G$16</f>
        <v>36000</v>
      </c>
      <c r="H58" s="260" t="s">
        <v>6</v>
      </c>
      <c r="I58" s="225">
        <v>30.94</v>
      </c>
      <c r="J58" s="225">
        <f>G58*I58</f>
        <v>1113840</v>
      </c>
      <c r="K58" s="98"/>
    </row>
    <row r="59" spans="1:16" ht="15.75" thickTop="1" x14ac:dyDescent="0.25">
      <c r="A59" s="122" t="s">
        <v>298</v>
      </c>
      <c r="B59" s="287"/>
      <c r="C59" s="622"/>
      <c r="D59" s="660" t="s">
        <v>46</v>
      </c>
      <c r="E59" s="130" t="s">
        <v>42</v>
      </c>
      <c r="F59" s="179" t="s">
        <v>116</v>
      </c>
      <c r="G59" s="257">
        <f>'Long Rock Volumes'!G102</f>
        <v>5583.0896127148126</v>
      </c>
      <c r="H59" s="256" t="s">
        <v>6</v>
      </c>
      <c r="I59" s="142">
        <v>166.39193969999999</v>
      </c>
      <c r="J59" s="142">
        <f t="shared" si="7"/>
        <v>928981.11017853941</v>
      </c>
      <c r="K59" s="98"/>
      <c r="L59" s="97"/>
    </row>
    <row r="60" spans="1:16" s="122" customFormat="1" x14ac:dyDescent="0.25">
      <c r="A60" s="122" t="s">
        <v>300</v>
      </c>
      <c r="B60" s="287"/>
      <c r="C60" s="622"/>
      <c r="D60" s="661"/>
      <c r="E60" s="258" t="s">
        <v>299</v>
      </c>
      <c r="F60" s="180"/>
      <c r="G60" s="258">
        <v>1</v>
      </c>
      <c r="H60" s="258" t="s">
        <v>83</v>
      </c>
      <c r="I60" s="143">
        <v>110000</v>
      </c>
      <c r="J60" s="143">
        <f>G60*I60</f>
        <v>110000</v>
      </c>
      <c r="K60" s="98"/>
      <c r="L60" s="97"/>
    </row>
    <row r="61" spans="1:16" s="122" customFormat="1" x14ac:dyDescent="0.25">
      <c r="A61" s="122" t="s">
        <v>297</v>
      </c>
      <c r="B61" s="287"/>
      <c r="C61" s="622"/>
      <c r="D61" s="661"/>
      <c r="E61" s="99" t="s">
        <v>176</v>
      </c>
      <c r="F61" s="180"/>
      <c r="G61" s="258">
        <v>1</v>
      </c>
      <c r="H61" s="258" t="s">
        <v>83</v>
      </c>
      <c r="I61" s="143">
        <v>1813000</v>
      </c>
      <c r="J61" s="143">
        <f>G61*I61</f>
        <v>1813000</v>
      </c>
      <c r="K61" s="98"/>
      <c r="L61" s="97"/>
    </row>
    <row r="62" spans="1:16" s="122" customFormat="1" x14ac:dyDescent="0.25">
      <c r="A62" s="122" t="s">
        <v>296</v>
      </c>
      <c r="B62" s="287"/>
      <c r="C62" s="622"/>
      <c r="D62" s="661"/>
      <c r="E62" s="258" t="s">
        <v>112</v>
      </c>
      <c r="F62" s="180" t="s">
        <v>116</v>
      </c>
      <c r="G62" s="258">
        <v>1</v>
      </c>
      <c r="H62" s="258" t="s">
        <v>27</v>
      </c>
      <c r="I62" s="143">
        <v>500000</v>
      </c>
      <c r="J62" s="143">
        <f>G62*I62</f>
        <v>500000</v>
      </c>
      <c r="K62" s="98"/>
      <c r="L62" s="411" t="s">
        <v>223</v>
      </c>
      <c r="M62" s="396"/>
      <c r="N62" s="396"/>
      <c r="O62" s="396"/>
      <c r="P62" s="396"/>
    </row>
    <row r="63" spans="1:16" ht="15.75" thickBot="1" x14ac:dyDescent="0.3">
      <c r="A63" s="122" t="s">
        <v>294</v>
      </c>
      <c r="B63" s="287"/>
      <c r="C63" s="622"/>
      <c r="D63" s="662"/>
      <c r="E63" s="260" t="s">
        <v>70</v>
      </c>
      <c r="F63" s="223" t="s">
        <v>116</v>
      </c>
      <c r="G63" s="224">
        <f>'Re-nourishment-Recycling rates'!E8</f>
        <v>26250</v>
      </c>
      <c r="H63" s="260" t="s">
        <v>6</v>
      </c>
      <c r="I63" s="225">
        <v>30.94</v>
      </c>
      <c r="J63" s="225">
        <f>G63*I63</f>
        <v>812175</v>
      </c>
      <c r="K63" s="98"/>
      <c r="L63" s="374" t="s">
        <v>214</v>
      </c>
      <c r="M63" s="396" t="s">
        <v>178</v>
      </c>
      <c r="N63" s="396" t="s">
        <v>179</v>
      </c>
      <c r="O63" s="396" t="s">
        <v>180</v>
      </c>
      <c r="P63" s="396" t="s">
        <v>181</v>
      </c>
    </row>
    <row r="64" spans="1:16" s="122" customFormat="1" ht="17.25" thickTop="1" thickBot="1" x14ac:dyDescent="0.3">
      <c r="A64" s="122" t="s">
        <v>295</v>
      </c>
      <c r="B64" s="287"/>
      <c r="C64" s="622"/>
      <c r="D64" s="167" t="s">
        <v>47</v>
      </c>
      <c r="E64" s="261" t="s">
        <v>71</v>
      </c>
      <c r="F64" s="181" t="s">
        <v>116</v>
      </c>
      <c r="G64" s="262">
        <v>1</v>
      </c>
      <c r="H64" s="261" t="s">
        <v>33</v>
      </c>
      <c r="I64" s="141">
        <v>443487.15</v>
      </c>
      <c r="J64" s="141">
        <f>G64*I64</f>
        <v>443487.15</v>
      </c>
      <c r="K64" s="109">
        <f>SUM(J52:J64)</f>
        <v>8094771.9241785398</v>
      </c>
      <c r="L64" s="374" t="s">
        <v>220</v>
      </c>
      <c r="M64" s="397">
        <v>6074856.1302886661</v>
      </c>
      <c r="N64" s="397">
        <f>K64</f>
        <v>8094771.9241785398</v>
      </c>
      <c r="O64" s="397">
        <f>M64-N64</f>
        <v>-2019915.7938898737</v>
      </c>
      <c r="P64" s="398">
        <f>(M64-N64)/M64</f>
        <v>-0.33250430143008025</v>
      </c>
    </row>
    <row r="65" spans="1:13" ht="15.75" thickBot="1" x14ac:dyDescent="0.3">
      <c r="B65" s="287"/>
      <c r="C65" s="655" t="s">
        <v>49</v>
      </c>
      <c r="D65" s="305"/>
      <c r="E65" s="306"/>
      <c r="F65" s="307"/>
      <c r="G65" s="308"/>
      <c r="H65" s="306"/>
      <c r="I65" s="309"/>
      <c r="J65" s="309"/>
      <c r="K65" s="321"/>
      <c r="L65" s="155"/>
    </row>
    <row r="66" spans="1:13" ht="15.75" thickTop="1" x14ac:dyDescent="0.25">
      <c r="B66" s="287"/>
      <c r="C66" s="656"/>
      <c r="D66" s="663" t="s">
        <v>45</v>
      </c>
      <c r="E66" s="311" t="s">
        <v>77</v>
      </c>
      <c r="F66" s="312">
        <v>10</v>
      </c>
      <c r="G66" s="314">
        <v>14</v>
      </c>
      <c r="H66" s="313" t="s">
        <v>33</v>
      </c>
      <c r="I66" s="315">
        <v>2000</v>
      </c>
      <c r="J66" s="315">
        <f>I66*G66</f>
        <v>28000</v>
      </c>
      <c r="K66" s="321"/>
    </row>
    <row r="67" spans="1:13" s="122" customFormat="1" x14ac:dyDescent="0.25">
      <c r="B67" s="287"/>
      <c r="C67" s="656"/>
      <c r="D67" s="664"/>
      <c r="E67" s="316" t="s">
        <v>343</v>
      </c>
      <c r="F67" s="317">
        <v>50</v>
      </c>
      <c r="G67" s="319">
        <v>1</v>
      </c>
      <c r="H67" s="318" t="s">
        <v>33</v>
      </c>
      <c r="I67" s="320">
        <v>27000</v>
      </c>
      <c r="J67" s="320">
        <f t="shared" ref="J67:J68" si="8">I67*G67</f>
        <v>27000</v>
      </c>
      <c r="K67" s="321"/>
    </row>
    <row r="68" spans="1:13" s="122" customFormat="1" x14ac:dyDescent="0.25">
      <c r="B68" s="287"/>
      <c r="C68" s="656"/>
      <c r="D68" s="664"/>
      <c r="E68" s="316" t="s">
        <v>342</v>
      </c>
      <c r="F68" s="317">
        <v>10</v>
      </c>
      <c r="G68" s="319">
        <v>1</v>
      </c>
      <c r="H68" s="318" t="s">
        <v>33</v>
      </c>
      <c r="I68" s="320">
        <v>1000</v>
      </c>
      <c r="J68" s="320">
        <f t="shared" si="8"/>
        <v>1000</v>
      </c>
      <c r="K68" s="321"/>
    </row>
    <row r="69" spans="1:13" s="122" customFormat="1" x14ac:dyDescent="0.25">
      <c r="B69" s="287"/>
      <c r="C69" s="656"/>
      <c r="D69" s="664"/>
      <c r="E69" s="335" t="s">
        <v>70</v>
      </c>
      <c r="F69" s="317">
        <v>10</v>
      </c>
      <c r="G69" s="340">
        <f>G58-G70</f>
        <v>25200</v>
      </c>
      <c r="H69" s="318" t="s">
        <v>6</v>
      </c>
      <c r="I69" s="320">
        <v>31.9</v>
      </c>
      <c r="J69" s="320">
        <f>G69*I69</f>
        <v>803880</v>
      </c>
      <c r="K69" s="321"/>
      <c r="L69" s="152" t="s">
        <v>81</v>
      </c>
      <c r="M69"/>
    </row>
    <row r="70" spans="1:13" s="122" customFormat="1" ht="15.75" thickBot="1" x14ac:dyDescent="0.3">
      <c r="B70" s="287"/>
      <c r="C70" s="656"/>
      <c r="D70" s="671"/>
      <c r="E70" s="341" t="s">
        <v>143</v>
      </c>
      <c r="F70" s="342">
        <v>5</v>
      </c>
      <c r="G70" s="344">
        <f>G58*0.3</f>
        <v>10800</v>
      </c>
      <c r="H70" s="343" t="s">
        <v>6</v>
      </c>
      <c r="I70" s="345">
        <v>8</v>
      </c>
      <c r="J70" s="345">
        <f>G70*I70</f>
        <v>86400</v>
      </c>
      <c r="K70" s="321"/>
      <c r="L70" s="152"/>
    </row>
    <row r="71" spans="1:13" ht="16.5" thickTop="1" thickBot="1" x14ac:dyDescent="0.3">
      <c r="B71" s="288"/>
      <c r="C71" s="672"/>
      <c r="D71" s="338" t="s">
        <v>47</v>
      </c>
      <c r="E71" s="339" t="s">
        <v>50</v>
      </c>
      <c r="F71" s="330">
        <v>30</v>
      </c>
      <c r="G71" s="346">
        <v>1</v>
      </c>
      <c r="H71" s="331" t="s">
        <v>27</v>
      </c>
      <c r="I71" s="332">
        <v>100000</v>
      </c>
      <c r="J71" s="332">
        <f t="shared" si="7"/>
        <v>100000</v>
      </c>
      <c r="K71" s="333"/>
    </row>
    <row r="72" spans="1:13" ht="15.75" customHeight="1" thickBot="1" x14ac:dyDescent="0.3">
      <c r="A72" s="20" t="s">
        <v>289</v>
      </c>
      <c r="B72" s="567" t="s">
        <v>125</v>
      </c>
      <c r="C72" s="626"/>
      <c r="D72" s="232"/>
      <c r="E72" s="233"/>
      <c r="F72" s="234"/>
      <c r="G72" s="237"/>
      <c r="H72" s="236"/>
      <c r="I72" s="235"/>
      <c r="J72" s="235"/>
      <c r="K72" s="100"/>
      <c r="L72" s="97"/>
    </row>
    <row r="73" spans="1:13" ht="15.75" thickTop="1" x14ac:dyDescent="0.25">
      <c r="A73" s="20" t="s">
        <v>290</v>
      </c>
      <c r="B73" s="568" t="s">
        <v>131</v>
      </c>
      <c r="C73" s="627"/>
      <c r="D73" s="626"/>
      <c r="E73" s="263" t="s">
        <v>74</v>
      </c>
      <c r="F73" s="183" t="s">
        <v>116</v>
      </c>
      <c r="G73" s="264">
        <v>1</v>
      </c>
      <c r="H73" s="263" t="s">
        <v>33</v>
      </c>
      <c r="I73" s="147">
        <v>30000</v>
      </c>
      <c r="J73" s="147">
        <f t="shared" ref="J73:J77" si="9">G73*I73</f>
        <v>30000</v>
      </c>
      <c r="K73" s="100"/>
      <c r="L73" s="97"/>
    </row>
    <row r="74" spans="1:13" s="122" customFormat="1" ht="30" x14ac:dyDescent="0.25">
      <c r="A74" s="20" t="s">
        <v>302</v>
      </c>
      <c r="B74" s="289"/>
      <c r="C74" s="627"/>
      <c r="D74" s="627"/>
      <c r="E74" s="101" t="s">
        <v>301</v>
      </c>
      <c r="F74" s="182" t="s">
        <v>116</v>
      </c>
      <c r="G74" s="266">
        <v>600</v>
      </c>
      <c r="H74" s="265" t="s">
        <v>27</v>
      </c>
      <c r="I74" s="146">
        <v>3268.81</v>
      </c>
      <c r="J74" s="146">
        <f>I74*G74</f>
        <v>1961286</v>
      </c>
      <c r="K74" s="100"/>
      <c r="L74" s="97"/>
    </row>
    <row r="75" spans="1:13" s="122" customFormat="1" x14ac:dyDescent="0.25">
      <c r="B75" s="289"/>
      <c r="C75" s="627"/>
      <c r="D75" s="627" t="s">
        <v>45</v>
      </c>
      <c r="E75" s="101" t="s">
        <v>235</v>
      </c>
      <c r="F75" s="182" t="s">
        <v>116</v>
      </c>
      <c r="G75" s="266">
        <v>1</v>
      </c>
      <c r="H75" s="265" t="s">
        <v>33</v>
      </c>
      <c r="I75" s="146">
        <v>27000</v>
      </c>
      <c r="J75" s="146">
        <v>30000</v>
      </c>
      <c r="K75" s="100"/>
      <c r="L75" s="97"/>
    </row>
    <row r="76" spans="1:13" s="122" customFormat="1" x14ac:dyDescent="0.25">
      <c r="A76" s="122" t="s">
        <v>291</v>
      </c>
      <c r="B76" s="289"/>
      <c r="C76" s="627"/>
      <c r="D76" s="627"/>
      <c r="E76" s="265" t="s">
        <v>76</v>
      </c>
      <c r="F76" s="182" t="s">
        <v>116</v>
      </c>
      <c r="G76" s="266">
        <v>14</v>
      </c>
      <c r="H76" s="265" t="s">
        <v>83</v>
      </c>
      <c r="I76" s="146">
        <v>18000</v>
      </c>
      <c r="J76" s="146">
        <f t="shared" si="9"/>
        <v>252000</v>
      </c>
      <c r="K76" s="100"/>
      <c r="L76" s="97"/>
    </row>
    <row r="77" spans="1:13" s="122" customFormat="1" x14ac:dyDescent="0.25">
      <c r="A77" s="122" t="s">
        <v>293</v>
      </c>
      <c r="B77" s="289"/>
      <c r="C77" s="627"/>
      <c r="D77" s="627"/>
      <c r="E77" s="101" t="s">
        <v>75</v>
      </c>
      <c r="F77" s="182" t="s">
        <v>116</v>
      </c>
      <c r="G77" s="266">
        <v>1</v>
      </c>
      <c r="H77" s="265" t="s">
        <v>27</v>
      </c>
      <c r="I77" s="146">
        <v>100000</v>
      </c>
      <c r="J77" s="146">
        <f t="shared" si="9"/>
        <v>100000</v>
      </c>
      <c r="K77" s="100"/>
      <c r="L77" s="97"/>
    </row>
    <row r="78" spans="1:13" s="122" customFormat="1" ht="15.75" thickBot="1" x14ac:dyDescent="0.3">
      <c r="A78" s="122" t="s">
        <v>294</v>
      </c>
      <c r="B78" s="289"/>
      <c r="C78" s="627" t="s">
        <v>40</v>
      </c>
      <c r="D78" s="629"/>
      <c r="E78" s="228" t="s">
        <v>70</v>
      </c>
      <c r="F78" s="229" t="s">
        <v>116</v>
      </c>
      <c r="G78" s="231">
        <f>$G$16</f>
        <v>36000</v>
      </c>
      <c r="H78" s="267" t="s">
        <v>6</v>
      </c>
      <c r="I78" s="230">
        <v>30.94</v>
      </c>
      <c r="J78" s="230">
        <f>G78*I78</f>
        <v>1113840</v>
      </c>
      <c r="K78" s="100"/>
      <c r="L78" s="97"/>
    </row>
    <row r="79" spans="1:13" ht="15.75" thickTop="1" x14ac:dyDescent="0.25">
      <c r="A79" s="122" t="s">
        <v>298</v>
      </c>
      <c r="B79" s="289"/>
      <c r="C79" s="627"/>
      <c r="D79" s="673" t="s">
        <v>46</v>
      </c>
      <c r="E79" s="121" t="s">
        <v>48</v>
      </c>
      <c r="F79" s="183" t="s">
        <v>116</v>
      </c>
      <c r="G79" s="280">
        <f>'Long Rock Volumes'!G102+'Short Rock Volumes'!G102</f>
        <v>7280.5209390962937</v>
      </c>
      <c r="H79" s="263" t="s">
        <v>6</v>
      </c>
      <c r="I79" s="147">
        <v>166.39193969999999</v>
      </c>
      <c r="J79" s="147">
        <f t="shared" si="7"/>
        <v>1211420.0010826979</v>
      </c>
      <c r="K79" s="100"/>
      <c r="L79" s="97"/>
    </row>
    <row r="80" spans="1:13" s="122" customFormat="1" x14ac:dyDescent="0.25">
      <c r="A80" s="122" t="s">
        <v>300</v>
      </c>
      <c r="B80" s="289"/>
      <c r="C80" s="627"/>
      <c r="D80" s="674"/>
      <c r="E80" s="101" t="s">
        <v>299</v>
      </c>
      <c r="F80" s="182"/>
      <c r="G80" s="266">
        <v>1</v>
      </c>
      <c r="H80" s="265" t="s">
        <v>83</v>
      </c>
      <c r="I80" s="146">
        <v>110000</v>
      </c>
      <c r="J80" s="146">
        <f>G80*I80</f>
        <v>110000</v>
      </c>
      <c r="K80" s="100"/>
      <c r="L80" s="97"/>
    </row>
    <row r="81" spans="1:13" x14ac:dyDescent="0.25">
      <c r="A81" s="122" t="s">
        <v>297</v>
      </c>
      <c r="B81" s="289"/>
      <c r="C81" s="627"/>
      <c r="D81" s="674"/>
      <c r="E81" s="101" t="s">
        <v>176</v>
      </c>
      <c r="F81" s="182"/>
      <c r="G81" s="266">
        <v>1</v>
      </c>
      <c r="H81" s="265" t="s">
        <v>83</v>
      </c>
      <c r="I81" s="146">
        <v>1813000</v>
      </c>
      <c r="J81" s="146">
        <f>G81*I81</f>
        <v>1813000</v>
      </c>
      <c r="K81" s="100"/>
      <c r="L81" s="97"/>
    </row>
    <row r="82" spans="1:13" s="122" customFormat="1" x14ac:dyDescent="0.25">
      <c r="A82" s="122" t="s">
        <v>296</v>
      </c>
      <c r="B82" s="289"/>
      <c r="C82" s="627"/>
      <c r="D82" s="674"/>
      <c r="E82" s="265" t="s">
        <v>112</v>
      </c>
      <c r="F82" s="182" t="s">
        <v>116</v>
      </c>
      <c r="G82" s="265">
        <v>1</v>
      </c>
      <c r="H82" s="265" t="s">
        <v>27</v>
      </c>
      <c r="I82" s="146">
        <v>500000</v>
      </c>
      <c r="J82" s="146">
        <f>G82*I82</f>
        <v>500000</v>
      </c>
      <c r="K82" s="100"/>
      <c r="L82" s="97"/>
    </row>
    <row r="83" spans="1:13" ht="15.75" thickBot="1" x14ac:dyDescent="0.3">
      <c r="A83" s="122" t="s">
        <v>294</v>
      </c>
      <c r="B83" s="289"/>
      <c r="C83" s="627"/>
      <c r="D83" s="675"/>
      <c r="E83" s="267" t="s">
        <v>70</v>
      </c>
      <c r="F83" s="229" t="s">
        <v>116</v>
      </c>
      <c r="G83" s="231">
        <f>'Re-nourishment-Recycling rates'!E8</f>
        <v>26250</v>
      </c>
      <c r="H83" s="267" t="s">
        <v>6</v>
      </c>
      <c r="I83" s="230">
        <v>30.94</v>
      </c>
      <c r="J83" s="230">
        <f>G83*I83</f>
        <v>812175</v>
      </c>
      <c r="K83" s="100"/>
      <c r="L83" s="97"/>
    </row>
    <row r="84" spans="1:13" s="122" customFormat="1" ht="16.5" thickTop="1" thickBot="1" x14ac:dyDescent="0.3">
      <c r="A84" s="122" t="s">
        <v>295</v>
      </c>
      <c r="B84" s="289"/>
      <c r="C84" s="627"/>
      <c r="D84" s="193" t="s">
        <v>47</v>
      </c>
      <c r="E84" s="265" t="s">
        <v>72</v>
      </c>
      <c r="F84" s="182" t="s">
        <v>116</v>
      </c>
      <c r="G84" s="266">
        <v>1</v>
      </c>
      <c r="H84" s="265" t="s">
        <v>33</v>
      </c>
      <c r="I84" s="146">
        <v>443487.15</v>
      </c>
      <c r="J84" s="146">
        <f>G84*I84</f>
        <v>443487.15</v>
      </c>
      <c r="K84" s="108">
        <f>SUM(J72:J84)</f>
        <v>8377208.1510826983</v>
      </c>
      <c r="L84" s="97"/>
    </row>
    <row r="85" spans="1:13" ht="15.75" thickBot="1" x14ac:dyDescent="0.3">
      <c r="B85" s="289"/>
      <c r="C85" s="655" t="s">
        <v>49</v>
      </c>
      <c r="D85" s="305"/>
      <c r="E85" s="306"/>
      <c r="F85" s="307"/>
      <c r="G85" s="308"/>
      <c r="H85" s="306"/>
      <c r="I85" s="309"/>
      <c r="J85" s="309"/>
      <c r="K85" s="321"/>
    </row>
    <row r="86" spans="1:13" s="122" customFormat="1" ht="16.5" thickTop="1" thickBot="1" x14ac:dyDescent="0.3">
      <c r="B86" s="289"/>
      <c r="C86" s="656"/>
      <c r="D86" s="676" t="s">
        <v>45</v>
      </c>
      <c r="E86" s="311" t="s">
        <v>77</v>
      </c>
      <c r="F86" s="312">
        <v>10</v>
      </c>
      <c r="G86" s="314">
        <v>14</v>
      </c>
      <c r="H86" s="313" t="s">
        <v>33</v>
      </c>
      <c r="I86" s="315">
        <v>2000</v>
      </c>
      <c r="J86" s="315">
        <f>I86*G86</f>
        <v>28000</v>
      </c>
      <c r="K86" s="321"/>
    </row>
    <row r="87" spans="1:13" s="122" customFormat="1" ht="15.75" thickTop="1" x14ac:dyDescent="0.25">
      <c r="B87" s="289"/>
      <c r="C87" s="656"/>
      <c r="D87" s="664"/>
      <c r="E87" s="316" t="s">
        <v>343</v>
      </c>
      <c r="F87" s="317">
        <v>50</v>
      </c>
      <c r="G87" s="319">
        <v>1</v>
      </c>
      <c r="H87" s="318" t="s">
        <v>33</v>
      </c>
      <c r="I87" s="320">
        <v>27000</v>
      </c>
      <c r="J87" s="315">
        <f>I87*G87</f>
        <v>27000</v>
      </c>
      <c r="K87" s="321"/>
    </row>
    <row r="88" spans="1:13" s="122" customFormat="1" x14ac:dyDescent="0.25">
      <c r="B88" s="289"/>
      <c r="C88" s="656"/>
      <c r="D88" s="664"/>
      <c r="E88" s="316" t="s">
        <v>342</v>
      </c>
      <c r="F88" s="317">
        <v>10</v>
      </c>
      <c r="G88" s="319">
        <v>1</v>
      </c>
      <c r="H88" s="318" t="s">
        <v>33</v>
      </c>
      <c r="I88" s="320">
        <v>1000</v>
      </c>
      <c r="J88" s="320">
        <f t="shared" ref="J88" si="10">I88*G88</f>
        <v>1000</v>
      </c>
      <c r="K88" s="321"/>
    </row>
    <row r="89" spans="1:13" x14ac:dyDescent="0.25">
      <c r="B89" s="289"/>
      <c r="C89" s="656"/>
      <c r="D89" s="664"/>
      <c r="E89" s="318" t="s">
        <v>70</v>
      </c>
      <c r="F89" s="317">
        <v>10</v>
      </c>
      <c r="G89" s="340">
        <f>G78*0.65</f>
        <v>23400</v>
      </c>
      <c r="H89" s="318" t="s">
        <v>6</v>
      </c>
      <c r="I89" s="320">
        <v>31.9</v>
      </c>
      <c r="J89" s="320">
        <f>G89*I89</f>
        <v>746460</v>
      </c>
      <c r="K89" s="321"/>
    </row>
    <row r="90" spans="1:13" s="122" customFormat="1" ht="15.75" thickBot="1" x14ac:dyDescent="0.3">
      <c r="B90" s="289"/>
      <c r="C90" s="656"/>
      <c r="D90" s="671"/>
      <c r="E90" s="343" t="s">
        <v>143</v>
      </c>
      <c r="F90" s="342">
        <v>5</v>
      </c>
      <c r="G90" s="344">
        <f>0.35*G78</f>
        <v>12600</v>
      </c>
      <c r="H90" s="343" t="s">
        <v>6</v>
      </c>
      <c r="I90" s="345">
        <v>8</v>
      </c>
      <c r="J90" s="345">
        <f>G90*I90</f>
        <v>100800</v>
      </c>
      <c r="K90" s="321"/>
    </row>
    <row r="91" spans="1:13" ht="16.5" thickTop="1" thickBot="1" x14ac:dyDescent="0.3">
      <c r="B91" s="290"/>
      <c r="C91" s="672"/>
      <c r="D91" s="338" t="s">
        <v>47</v>
      </c>
      <c r="E91" s="331" t="s">
        <v>50</v>
      </c>
      <c r="F91" s="330">
        <v>30</v>
      </c>
      <c r="G91" s="347">
        <v>1</v>
      </c>
      <c r="H91" s="331" t="s">
        <v>27</v>
      </c>
      <c r="I91" s="332">
        <v>100000</v>
      </c>
      <c r="J91" s="332">
        <f>I91*G91</f>
        <v>100000</v>
      </c>
      <c r="K91" s="333"/>
    </row>
    <row r="92" spans="1:13" ht="15.75" customHeight="1" thickBot="1" x14ac:dyDescent="0.3">
      <c r="A92" s="20" t="s">
        <v>289</v>
      </c>
      <c r="B92" s="565" t="s">
        <v>126</v>
      </c>
      <c r="C92" s="623"/>
      <c r="D92" s="238"/>
      <c r="E92" s="245"/>
      <c r="F92" s="239"/>
      <c r="G92" s="246"/>
      <c r="H92" s="245"/>
      <c r="I92" s="240"/>
      <c r="J92" s="240"/>
      <c r="K92" s="107"/>
      <c r="L92" s="191">
        <f>J92</f>
        <v>0</v>
      </c>
      <c r="M92" s="97">
        <f t="shared" ref="M92:M99" si="11">J72</f>
        <v>0</v>
      </c>
    </row>
    <row r="93" spans="1:13" ht="15.75" thickTop="1" x14ac:dyDescent="0.25">
      <c r="A93" s="20" t="s">
        <v>290</v>
      </c>
      <c r="B93" s="566" t="s">
        <v>128</v>
      </c>
      <c r="C93" s="624"/>
      <c r="D93" s="623"/>
      <c r="E93" s="268" t="s">
        <v>74</v>
      </c>
      <c r="F93" s="184" t="s">
        <v>116</v>
      </c>
      <c r="G93" s="269">
        <v>1</v>
      </c>
      <c r="H93" s="268" t="s">
        <v>33</v>
      </c>
      <c r="I93" s="148">
        <v>30000</v>
      </c>
      <c r="J93" s="148">
        <f t="shared" ref="J93:J97" si="12">G93*I93</f>
        <v>30000</v>
      </c>
      <c r="K93" s="102"/>
      <c r="L93" s="191">
        <f>SUM(J93:J98)</f>
        <v>3487126</v>
      </c>
      <c r="M93" s="97">
        <f t="shared" si="11"/>
        <v>30000</v>
      </c>
    </row>
    <row r="94" spans="1:13" ht="30" x14ac:dyDescent="0.25">
      <c r="A94" s="20" t="s">
        <v>302</v>
      </c>
      <c r="B94" s="291"/>
      <c r="C94" s="624"/>
      <c r="D94" s="624"/>
      <c r="E94" s="103" t="s">
        <v>301</v>
      </c>
      <c r="F94" s="185" t="s">
        <v>116</v>
      </c>
      <c r="G94" s="270">
        <v>600</v>
      </c>
      <c r="H94" s="270" t="s">
        <v>27</v>
      </c>
      <c r="I94" s="149">
        <v>3268.81</v>
      </c>
      <c r="J94" s="149">
        <f>I94*G94</f>
        <v>1961286</v>
      </c>
      <c r="K94" s="102"/>
      <c r="L94" s="192"/>
      <c r="M94" s="97">
        <f t="shared" si="11"/>
        <v>1961286</v>
      </c>
    </row>
    <row r="95" spans="1:13" s="122" customFormat="1" x14ac:dyDescent="0.25">
      <c r="B95" s="291"/>
      <c r="C95" s="624"/>
      <c r="D95" s="624" t="s">
        <v>45</v>
      </c>
      <c r="E95" s="103" t="s">
        <v>235</v>
      </c>
      <c r="F95" s="185" t="s">
        <v>116</v>
      </c>
      <c r="G95" s="270">
        <v>1</v>
      </c>
      <c r="H95" s="270" t="s">
        <v>33</v>
      </c>
      <c r="I95" s="149">
        <v>27000</v>
      </c>
      <c r="J95" s="149">
        <v>30000</v>
      </c>
      <c r="K95" s="102"/>
      <c r="L95" s="192"/>
      <c r="M95" s="97">
        <f t="shared" si="11"/>
        <v>30000</v>
      </c>
    </row>
    <row r="96" spans="1:13" s="122" customFormat="1" x14ac:dyDescent="0.25">
      <c r="A96" s="122" t="s">
        <v>291</v>
      </c>
      <c r="B96" s="291"/>
      <c r="C96" s="624"/>
      <c r="D96" s="624"/>
      <c r="E96" s="103" t="s">
        <v>76</v>
      </c>
      <c r="F96" s="185" t="s">
        <v>116</v>
      </c>
      <c r="G96" s="270">
        <v>14</v>
      </c>
      <c r="H96" s="270" t="s">
        <v>83</v>
      </c>
      <c r="I96" s="149">
        <v>18000</v>
      </c>
      <c r="J96" s="149">
        <f t="shared" si="12"/>
        <v>252000</v>
      </c>
      <c r="K96" s="102"/>
      <c r="L96" s="192"/>
      <c r="M96" s="97">
        <f t="shared" si="11"/>
        <v>252000</v>
      </c>
    </row>
    <row r="97" spans="1:13" s="122" customFormat="1" x14ac:dyDescent="0.25">
      <c r="A97" s="122" t="s">
        <v>293</v>
      </c>
      <c r="B97" s="291"/>
      <c r="C97" s="624"/>
      <c r="D97" s="624"/>
      <c r="E97" s="103" t="s">
        <v>75</v>
      </c>
      <c r="F97" s="185" t="s">
        <v>116</v>
      </c>
      <c r="G97" s="271">
        <v>1</v>
      </c>
      <c r="H97" s="270" t="s">
        <v>27</v>
      </c>
      <c r="I97" s="149">
        <v>100000</v>
      </c>
      <c r="J97" s="149">
        <f t="shared" si="12"/>
        <v>100000</v>
      </c>
      <c r="K97" s="102"/>
      <c r="L97" s="192"/>
      <c r="M97" s="97">
        <f t="shared" si="11"/>
        <v>100000</v>
      </c>
    </row>
    <row r="98" spans="1:13" s="122" customFormat="1" ht="15.75" thickBot="1" x14ac:dyDescent="0.3">
      <c r="A98" s="122" t="s">
        <v>294</v>
      </c>
      <c r="B98" s="291"/>
      <c r="C98" s="624" t="s">
        <v>40</v>
      </c>
      <c r="D98" s="625"/>
      <c r="E98" s="241" t="s">
        <v>70</v>
      </c>
      <c r="F98" s="242" t="s">
        <v>116</v>
      </c>
      <c r="G98" s="243">
        <f>$G$16</f>
        <v>36000</v>
      </c>
      <c r="H98" s="272" t="s">
        <v>6</v>
      </c>
      <c r="I98" s="244">
        <v>30.94</v>
      </c>
      <c r="J98" s="244">
        <f t="shared" ref="J98:J104" si="13">G98*I98</f>
        <v>1113840</v>
      </c>
      <c r="K98" s="102"/>
      <c r="L98" s="192"/>
      <c r="M98" s="97">
        <f t="shared" si="11"/>
        <v>1113840</v>
      </c>
    </row>
    <row r="99" spans="1:13" ht="15.75" thickTop="1" x14ac:dyDescent="0.25">
      <c r="A99" s="122" t="s">
        <v>298</v>
      </c>
      <c r="B99" s="291"/>
      <c r="C99" s="624"/>
      <c r="D99" s="668" t="s">
        <v>46</v>
      </c>
      <c r="E99" s="106" t="s">
        <v>44</v>
      </c>
      <c r="F99" s="184" t="s">
        <v>116</v>
      </c>
      <c r="G99" s="281">
        <f>'Long Rock Volumes'!G102*2</f>
        <v>11166.179225429625</v>
      </c>
      <c r="H99" s="268" t="s">
        <v>6</v>
      </c>
      <c r="I99" s="148">
        <v>166.39193969999999</v>
      </c>
      <c r="J99" s="148">
        <f t="shared" si="13"/>
        <v>1857962.2203570788</v>
      </c>
      <c r="K99" s="102"/>
      <c r="L99" s="191">
        <f>SUM(J99:J103)</f>
        <v>5093137.2203570791</v>
      </c>
      <c r="M99" s="97">
        <f t="shared" si="11"/>
        <v>1211420.0010826979</v>
      </c>
    </row>
    <row r="100" spans="1:13" s="122" customFormat="1" x14ac:dyDescent="0.25">
      <c r="A100" s="122" t="s">
        <v>300</v>
      </c>
      <c r="B100" s="291"/>
      <c r="C100" s="624"/>
      <c r="D100" s="669"/>
      <c r="E100" s="103" t="s">
        <v>299</v>
      </c>
      <c r="F100" s="185"/>
      <c r="G100" s="270">
        <v>1</v>
      </c>
      <c r="H100" s="270" t="s">
        <v>83</v>
      </c>
      <c r="I100" s="149">
        <v>110000</v>
      </c>
      <c r="J100" s="149">
        <f>G100*I100</f>
        <v>110000</v>
      </c>
      <c r="K100" s="102"/>
      <c r="L100" s="191"/>
      <c r="M100" s="97"/>
    </row>
    <row r="101" spans="1:13" x14ac:dyDescent="0.25">
      <c r="A101" s="122" t="s">
        <v>297</v>
      </c>
      <c r="B101" s="291"/>
      <c r="C101" s="624"/>
      <c r="D101" s="669"/>
      <c r="E101" s="103" t="s">
        <v>176</v>
      </c>
      <c r="F101" s="185"/>
      <c r="G101" s="270">
        <v>1</v>
      </c>
      <c r="H101" s="270" t="s">
        <v>83</v>
      </c>
      <c r="I101" s="149">
        <v>1813000</v>
      </c>
      <c r="J101" s="149">
        <f t="shared" si="13"/>
        <v>1813000</v>
      </c>
      <c r="K101" s="102"/>
      <c r="L101" s="192"/>
      <c r="M101" s="97">
        <f>J81</f>
        <v>1813000</v>
      </c>
    </row>
    <row r="102" spans="1:13" s="122" customFormat="1" x14ac:dyDescent="0.25">
      <c r="A102" s="122" t="s">
        <v>296</v>
      </c>
      <c r="B102" s="291"/>
      <c r="C102" s="624"/>
      <c r="D102" s="669"/>
      <c r="E102" s="270" t="s">
        <v>112</v>
      </c>
      <c r="F102" s="185" t="s">
        <v>116</v>
      </c>
      <c r="G102" s="270">
        <v>1</v>
      </c>
      <c r="H102" s="270" t="s">
        <v>27</v>
      </c>
      <c r="I102" s="149">
        <v>500000</v>
      </c>
      <c r="J102" s="149">
        <f t="shared" si="13"/>
        <v>500000</v>
      </c>
      <c r="K102" s="102"/>
      <c r="L102" s="192"/>
      <c r="M102" s="97">
        <f>J82</f>
        <v>500000</v>
      </c>
    </row>
    <row r="103" spans="1:13" s="122" customFormat="1" ht="15.75" thickBot="1" x14ac:dyDescent="0.3">
      <c r="A103" s="122" t="s">
        <v>294</v>
      </c>
      <c r="B103" s="291"/>
      <c r="C103" s="624"/>
      <c r="D103" s="670"/>
      <c r="E103" s="272" t="s">
        <v>70</v>
      </c>
      <c r="F103" s="242" t="s">
        <v>116</v>
      </c>
      <c r="G103" s="243">
        <f>'Re-nourishment-Recycling rates'!E8</f>
        <v>26250</v>
      </c>
      <c r="H103" s="272" t="s">
        <v>6</v>
      </c>
      <c r="I103" s="244">
        <v>30.94</v>
      </c>
      <c r="J103" s="244">
        <f t="shared" si="13"/>
        <v>812175</v>
      </c>
      <c r="K103" s="134"/>
      <c r="L103" s="192"/>
      <c r="M103" s="97">
        <f>J83</f>
        <v>812175</v>
      </c>
    </row>
    <row r="104" spans="1:13" s="122" customFormat="1" ht="16.5" thickTop="1" thickBot="1" x14ac:dyDescent="0.3">
      <c r="A104" s="122" t="s">
        <v>295</v>
      </c>
      <c r="B104" s="291"/>
      <c r="C104" s="628"/>
      <c r="D104" s="164" t="s">
        <v>47</v>
      </c>
      <c r="E104" s="273" t="s">
        <v>72</v>
      </c>
      <c r="F104" s="186" t="s">
        <v>116</v>
      </c>
      <c r="G104" s="274">
        <v>1</v>
      </c>
      <c r="H104" s="273" t="s">
        <v>33</v>
      </c>
      <c r="I104" s="150">
        <v>443487.15</v>
      </c>
      <c r="J104" s="150">
        <f t="shared" si="13"/>
        <v>443487.15</v>
      </c>
      <c r="K104" s="105">
        <f>SUM(J92:J104)</f>
        <v>9023750.3703570794</v>
      </c>
      <c r="L104" s="191">
        <f>J104</f>
        <v>443487.15</v>
      </c>
      <c r="M104" s="97">
        <f>J84</f>
        <v>443487.15</v>
      </c>
    </row>
    <row r="105" spans="1:13" s="122" customFormat="1" ht="15.75" thickBot="1" x14ac:dyDescent="0.3">
      <c r="B105" s="291"/>
      <c r="C105" s="304"/>
      <c r="D105" s="305"/>
      <c r="E105" s="306"/>
      <c r="F105" s="307"/>
      <c r="G105" s="308"/>
      <c r="H105" s="306"/>
      <c r="I105" s="309"/>
      <c r="J105" s="309"/>
      <c r="K105" s="310"/>
      <c r="L105" s="192"/>
    </row>
    <row r="106" spans="1:13" ht="16.5" thickTop="1" thickBot="1" x14ac:dyDescent="0.3">
      <c r="B106" s="291"/>
      <c r="C106" s="656" t="s">
        <v>49</v>
      </c>
      <c r="D106" s="663" t="s">
        <v>45</v>
      </c>
      <c r="E106" s="311" t="s">
        <v>77</v>
      </c>
      <c r="F106" s="312">
        <v>10</v>
      </c>
      <c r="G106" s="314">
        <v>14</v>
      </c>
      <c r="H106" s="313" t="s">
        <v>33</v>
      </c>
      <c r="I106" s="315">
        <v>2000</v>
      </c>
      <c r="J106" s="315">
        <f>I106*G106</f>
        <v>28000</v>
      </c>
      <c r="K106" s="321"/>
      <c r="L106" s="192"/>
    </row>
    <row r="107" spans="1:13" s="122" customFormat="1" ht="15.75" thickTop="1" x14ac:dyDescent="0.25">
      <c r="B107" s="291"/>
      <c r="C107" s="656"/>
      <c r="D107" s="664"/>
      <c r="E107" s="316" t="s">
        <v>343</v>
      </c>
      <c r="F107" s="317">
        <v>50</v>
      </c>
      <c r="G107" s="319">
        <v>1</v>
      </c>
      <c r="H107" s="318" t="s">
        <v>33</v>
      </c>
      <c r="I107" s="320">
        <v>27000</v>
      </c>
      <c r="J107" s="315">
        <f>I107*G107</f>
        <v>27000</v>
      </c>
      <c r="K107" s="321"/>
      <c r="L107" s="192"/>
    </row>
    <row r="108" spans="1:13" s="122" customFormat="1" x14ac:dyDescent="0.25">
      <c r="B108" s="291"/>
      <c r="C108" s="656"/>
      <c r="D108" s="664"/>
      <c r="E108" s="316" t="s">
        <v>342</v>
      </c>
      <c r="F108" s="317">
        <v>10</v>
      </c>
      <c r="G108" s="319">
        <v>1</v>
      </c>
      <c r="H108" s="318" t="s">
        <v>33</v>
      </c>
      <c r="I108" s="320">
        <v>1000</v>
      </c>
      <c r="J108" s="320">
        <f t="shared" ref="J108" si="14">I108*G108</f>
        <v>1000</v>
      </c>
      <c r="K108" s="321"/>
      <c r="L108" s="192"/>
    </row>
    <row r="109" spans="1:13" s="122" customFormat="1" x14ac:dyDescent="0.25">
      <c r="B109" s="291"/>
      <c r="C109" s="656"/>
      <c r="D109" s="664"/>
      <c r="E109" s="335" t="s">
        <v>70</v>
      </c>
      <c r="F109" s="317">
        <v>10</v>
      </c>
      <c r="G109" s="340">
        <f>0.8*G98</f>
        <v>28800</v>
      </c>
      <c r="H109" s="318" t="s">
        <v>6</v>
      </c>
      <c r="I109" s="320">
        <v>31.9</v>
      </c>
      <c r="J109" s="320">
        <f>G109*I109</f>
        <v>918720</v>
      </c>
      <c r="K109" s="321"/>
      <c r="L109" s="192"/>
    </row>
    <row r="110" spans="1:13" s="122" customFormat="1" ht="15.75" thickBot="1" x14ac:dyDescent="0.3">
      <c r="B110" s="291"/>
      <c r="C110" s="656"/>
      <c r="D110" s="671"/>
      <c r="E110" s="341" t="s">
        <v>143</v>
      </c>
      <c r="F110" s="342">
        <v>5</v>
      </c>
      <c r="G110" s="348">
        <f>0.2*G98</f>
        <v>7200</v>
      </c>
      <c r="H110" s="343" t="s">
        <v>6</v>
      </c>
      <c r="I110" s="345">
        <v>8</v>
      </c>
      <c r="J110" s="345">
        <f>G110*I110</f>
        <v>57600</v>
      </c>
      <c r="K110" s="321"/>
    </row>
    <row r="111" spans="1:13" ht="16.5" thickTop="1" thickBot="1" x14ac:dyDescent="0.3">
      <c r="B111" s="292"/>
      <c r="C111" s="672"/>
      <c r="D111" s="338" t="s">
        <v>47</v>
      </c>
      <c r="E111" s="339" t="s">
        <v>50</v>
      </c>
      <c r="F111" s="330">
        <v>30</v>
      </c>
      <c r="G111" s="347">
        <v>1</v>
      </c>
      <c r="H111" s="331" t="s">
        <v>27</v>
      </c>
      <c r="I111" s="332">
        <v>100000</v>
      </c>
      <c r="J111" s="332">
        <v>100000</v>
      </c>
      <c r="K111" s="333"/>
      <c r="L111" t="s">
        <v>55</v>
      </c>
    </row>
    <row r="112" spans="1:13" x14ac:dyDescent="0.25">
      <c r="F112" s="187"/>
      <c r="L112" t="s">
        <v>56</v>
      </c>
    </row>
    <row r="113" spans="1:13" x14ac:dyDescent="0.25">
      <c r="L113" t="s">
        <v>57</v>
      </c>
    </row>
    <row r="114" spans="1:13" ht="15.75" thickBot="1" x14ac:dyDescent="0.3"/>
    <row r="115" spans="1:13" s="122" customFormat="1" ht="15.75" customHeight="1" thickBot="1" x14ac:dyDescent="0.3">
      <c r="A115" s="20" t="s">
        <v>289</v>
      </c>
      <c r="B115" s="563" t="s">
        <v>284</v>
      </c>
      <c r="C115" s="638"/>
      <c r="D115" s="468"/>
      <c r="E115" s="469"/>
      <c r="F115" s="470"/>
      <c r="G115" s="471"/>
      <c r="H115" s="469"/>
      <c r="I115" s="472"/>
      <c r="J115" s="472"/>
      <c r="K115" s="473"/>
      <c r="L115" s="191">
        <f>J115</f>
        <v>0</v>
      </c>
      <c r="M115" s="97">
        <f>J95</f>
        <v>30000</v>
      </c>
    </row>
    <row r="116" spans="1:13" s="122" customFormat="1" ht="15.75" thickTop="1" x14ac:dyDescent="0.25">
      <c r="A116" s="20" t="s">
        <v>290</v>
      </c>
      <c r="B116" s="564" t="s">
        <v>310</v>
      </c>
      <c r="C116" s="639"/>
      <c r="D116" s="638"/>
      <c r="E116" s="475" t="s">
        <v>74</v>
      </c>
      <c r="F116" s="476" t="s">
        <v>116</v>
      </c>
      <c r="G116" s="477">
        <v>1</v>
      </c>
      <c r="H116" s="475" t="s">
        <v>33</v>
      </c>
      <c r="I116" s="478">
        <v>30000</v>
      </c>
      <c r="J116" s="478">
        <f t="shared" ref="J116:J128" si="15">G116*I116</f>
        <v>30000</v>
      </c>
      <c r="K116" s="479"/>
      <c r="L116" s="191">
        <f>SUM(J116:J122)</f>
        <v>6495326.9539999999</v>
      </c>
      <c r="M116" s="97">
        <f>J96</f>
        <v>252000</v>
      </c>
    </row>
    <row r="117" spans="1:13" s="122" customFormat="1" ht="30" x14ac:dyDescent="0.25">
      <c r="A117" s="20" t="s">
        <v>302</v>
      </c>
      <c r="B117" s="474"/>
      <c r="C117" s="639"/>
      <c r="D117" s="639"/>
      <c r="E117" s="483" t="s">
        <v>301</v>
      </c>
      <c r="F117" s="481" t="s">
        <v>116</v>
      </c>
      <c r="G117" s="480">
        <v>600</v>
      </c>
      <c r="H117" s="480" t="s">
        <v>27</v>
      </c>
      <c r="I117" s="482">
        <v>3268.8144400000001</v>
      </c>
      <c r="J117" s="482">
        <f>I117*G117</f>
        <v>1961288.6640000001</v>
      </c>
      <c r="K117" s="479"/>
      <c r="L117" s="192"/>
      <c r="M117" s="97">
        <f>J97</f>
        <v>100000</v>
      </c>
    </row>
    <row r="118" spans="1:13" s="122" customFormat="1" x14ac:dyDescent="0.25">
      <c r="B118" s="474"/>
      <c r="C118" s="639"/>
      <c r="D118" s="639" t="s">
        <v>45</v>
      </c>
      <c r="E118" s="483" t="s">
        <v>235</v>
      </c>
      <c r="F118" s="481" t="s">
        <v>116</v>
      </c>
      <c r="G118" s="480">
        <v>1</v>
      </c>
      <c r="H118" s="480" t="s">
        <v>33</v>
      </c>
      <c r="I118" s="482">
        <v>27000</v>
      </c>
      <c r="J118" s="482">
        <v>30000</v>
      </c>
      <c r="K118" s="479"/>
      <c r="L118" s="192"/>
      <c r="M118" s="97">
        <f>J98</f>
        <v>1113840</v>
      </c>
    </row>
    <row r="119" spans="1:13" s="122" customFormat="1" x14ac:dyDescent="0.25">
      <c r="A119" s="122" t="s">
        <v>292</v>
      </c>
      <c r="B119" s="474"/>
      <c r="C119" s="639"/>
      <c r="D119" s="639"/>
      <c r="E119" s="483" t="s">
        <v>76</v>
      </c>
      <c r="F119" s="481" t="s">
        <v>116</v>
      </c>
      <c r="G119" s="480">
        <v>14</v>
      </c>
      <c r="H119" s="480" t="s">
        <v>83</v>
      </c>
      <c r="I119" s="482">
        <v>18000</v>
      </c>
      <c r="J119" s="482">
        <f t="shared" si="15"/>
        <v>252000</v>
      </c>
      <c r="K119" s="479"/>
      <c r="L119" s="192"/>
      <c r="M119" s="97">
        <f>J99</f>
        <v>1857962.2203570788</v>
      </c>
    </row>
    <row r="120" spans="1:13" s="122" customFormat="1" x14ac:dyDescent="0.25">
      <c r="A120" s="122" t="s">
        <v>293</v>
      </c>
      <c r="B120" s="474"/>
      <c r="C120" s="639"/>
      <c r="D120" s="639"/>
      <c r="E120" s="483" t="s">
        <v>75</v>
      </c>
      <c r="F120" s="481" t="s">
        <v>116</v>
      </c>
      <c r="G120" s="480">
        <v>1</v>
      </c>
      <c r="H120" s="480" t="s">
        <v>27</v>
      </c>
      <c r="I120" s="482">
        <v>100000</v>
      </c>
      <c r="J120" s="482">
        <f t="shared" si="15"/>
        <v>100000</v>
      </c>
      <c r="K120" s="479"/>
      <c r="L120" s="192"/>
      <c r="M120" s="97">
        <f t="shared" ref="M120" si="16">J101</f>
        <v>1813000</v>
      </c>
    </row>
    <row r="121" spans="1:13" s="122" customFormat="1" x14ac:dyDescent="0.25">
      <c r="A121" s="122" t="s">
        <v>303</v>
      </c>
      <c r="B121" s="474"/>
      <c r="C121" s="639"/>
      <c r="D121" s="639"/>
      <c r="E121" s="479" t="s">
        <v>311</v>
      </c>
      <c r="F121" s="484"/>
      <c r="G121" s="485">
        <v>70</v>
      </c>
      <c r="H121" s="480" t="s">
        <v>27</v>
      </c>
      <c r="I121" s="486">
        <v>3008198.29</v>
      </c>
      <c r="J121" s="482">
        <f>I121</f>
        <v>3008198.29</v>
      </c>
      <c r="K121" s="479"/>
      <c r="L121" s="192"/>
      <c r="M121" s="97"/>
    </row>
    <row r="122" spans="1:13" s="122" customFormat="1" ht="15.75" thickBot="1" x14ac:dyDescent="0.3">
      <c r="A122" s="122" t="s">
        <v>294</v>
      </c>
      <c r="B122" s="474"/>
      <c r="C122" s="639" t="s">
        <v>40</v>
      </c>
      <c r="D122" s="641"/>
      <c r="E122" s="487" t="s">
        <v>70</v>
      </c>
      <c r="F122" s="488" t="s">
        <v>116</v>
      </c>
      <c r="G122" s="489">
        <f>$G$16</f>
        <v>36000</v>
      </c>
      <c r="H122" s="490" t="s">
        <v>6</v>
      </c>
      <c r="I122" s="491">
        <v>30.94</v>
      </c>
      <c r="J122" s="491">
        <f t="shared" si="15"/>
        <v>1113840</v>
      </c>
      <c r="K122" s="533"/>
      <c r="L122" s="192"/>
      <c r="M122" s="97">
        <f>J102</f>
        <v>500000</v>
      </c>
    </row>
    <row r="123" spans="1:13" s="122" customFormat="1" ht="15.75" thickTop="1" x14ac:dyDescent="0.25">
      <c r="A123" s="122" t="s">
        <v>298</v>
      </c>
      <c r="B123" s="474"/>
      <c r="C123" s="639"/>
      <c r="D123" s="647" t="s">
        <v>46</v>
      </c>
      <c r="E123" s="492" t="s">
        <v>42</v>
      </c>
      <c r="F123" s="476" t="s">
        <v>116</v>
      </c>
      <c r="G123" s="477">
        <f>'Long Rock Volumes'!G102</f>
        <v>5583.0896127148126</v>
      </c>
      <c r="H123" s="475" t="s">
        <v>6</v>
      </c>
      <c r="I123" s="478">
        <v>166.39193969999999</v>
      </c>
      <c r="J123" s="478">
        <f t="shared" si="15"/>
        <v>928981.11017853941</v>
      </c>
      <c r="K123" s="479"/>
      <c r="L123" s="191">
        <f>SUM(J123:J127)</f>
        <v>4164156.1101785395</v>
      </c>
      <c r="M123" s="97">
        <f>J103</f>
        <v>812175</v>
      </c>
    </row>
    <row r="124" spans="1:13" s="122" customFormat="1" x14ac:dyDescent="0.25">
      <c r="A124" s="122" t="s">
        <v>300</v>
      </c>
      <c r="B124" s="474"/>
      <c r="C124" s="639"/>
      <c r="D124" s="648"/>
      <c r="E124" s="483" t="s">
        <v>299</v>
      </c>
      <c r="F124" s="481"/>
      <c r="G124" s="480">
        <v>1</v>
      </c>
      <c r="H124" s="480" t="s">
        <v>83</v>
      </c>
      <c r="I124" s="482">
        <v>110000</v>
      </c>
      <c r="J124" s="482">
        <f>G124*I124</f>
        <v>110000</v>
      </c>
      <c r="K124" s="479"/>
      <c r="L124" s="191"/>
      <c r="M124" s="97"/>
    </row>
    <row r="125" spans="1:13" s="122" customFormat="1" x14ac:dyDescent="0.25">
      <c r="A125" s="122" t="s">
        <v>297</v>
      </c>
      <c r="B125" s="474"/>
      <c r="C125" s="639"/>
      <c r="D125" s="648"/>
      <c r="E125" s="483" t="s">
        <v>176</v>
      </c>
      <c r="F125" s="481"/>
      <c r="G125" s="480">
        <v>1</v>
      </c>
      <c r="H125" s="480" t="s">
        <v>83</v>
      </c>
      <c r="I125" s="482">
        <v>1813000</v>
      </c>
      <c r="J125" s="482">
        <f t="shared" si="15"/>
        <v>1813000</v>
      </c>
      <c r="K125" s="479"/>
      <c r="L125" s="192"/>
      <c r="M125" s="97">
        <f>J104</f>
        <v>443487.15</v>
      </c>
    </row>
    <row r="126" spans="1:13" s="122" customFormat="1" x14ac:dyDescent="0.25">
      <c r="A126" s="122" t="s">
        <v>296</v>
      </c>
      <c r="B126" s="474"/>
      <c r="C126" s="639"/>
      <c r="D126" s="648"/>
      <c r="E126" s="480" t="s">
        <v>112</v>
      </c>
      <c r="F126" s="481" t="s">
        <v>116</v>
      </c>
      <c r="G126" s="480">
        <v>1</v>
      </c>
      <c r="H126" s="480" t="s">
        <v>27</v>
      </c>
      <c r="I126" s="482">
        <v>500000</v>
      </c>
      <c r="J126" s="482">
        <f t="shared" si="15"/>
        <v>500000</v>
      </c>
      <c r="K126" s="479"/>
      <c r="L126" s="192"/>
      <c r="M126" s="97">
        <f>J105</f>
        <v>0</v>
      </c>
    </row>
    <row r="127" spans="1:13" s="122" customFormat="1" ht="15.75" thickBot="1" x14ac:dyDescent="0.3">
      <c r="A127" s="122" t="s">
        <v>294</v>
      </c>
      <c r="B127" s="474"/>
      <c r="C127" s="639"/>
      <c r="D127" s="649"/>
      <c r="E127" s="490" t="s">
        <v>70</v>
      </c>
      <c r="F127" s="488" t="s">
        <v>116</v>
      </c>
      <c r="G127" s="489">
        <f>'Re-nourishment-Recycling rates'!E8</f>
        <v>26250</v>
      </c>
      <c r="H127" s="490" t="s">
        <v>6</v>
      </c>
      <c r="I127" s="491">
        <v>30.94</v>
      </c>
      <c r="J127" s="491">
        <f t="shared" si="15"/>
        <v>812175</v>
      </c>
      <c r="K127" s="493"/>
      <c r="L127" s="192"/>
      <c r="M127" s="97">
        <f>J106</f>
        <v>28000</v>
      </c>
    </row>
    <row r="128" spans="1:13" s="122" customFormat="1" ht="16.5" thickTop="1" thickBot="1" x14ac:dyDescent="0.3">
      <c r="A128" s="122" t="s">
        <v>295</v>
      </c>
      <c r="B128" s="474"/>
      <c r="C128" s="640"/>
      <c r="D128" s="494" t="s">
        <v>47</v>
      </c>
      <c r="E128" s="495" t="s">
        <v>72</v>
      </c>
      <c r="F128" s="496" t="s">
        <v>116</v>
      </c>
      <c r="G128" s="497">
        <v>1</v>
      </c>
      <c r="H128" s="495" t="s">
        <v>33</v>
      </c>
      <c r="I128" s="498">
        <v>443487.15</v>
      </c>
      <c r="J128" s="498">
        <f t="shared" si="15"/>
        <v>443487.15</v>
      </c>
      <c r="K128" s="499">
        <f>SUM(J115:J128)</f>
        <v>11102970.21417854</v>
      </c>
      <c r="L128" s="191">
        <f>J128</f>
        <v>443487.15</v>
      </c>
      <c r="M128" s="97">
        <f>J109</f>
        <v>918720</v>
      </c>
    </row>
    <row r="129" spans="2:14" s="122" customFormat="1" ht="15.75" thickBot="1" x14ac:dyDescent="0.3">
      <c r="B129" s="474"/>
      <c r="C129" s="501"/>
      <c r="D129" s="502"/>
      <c r="E129" s="503"/>
      <c r="F129" s="504"/>
      <c r="G129" s="505"/>
      <c r="H129" s="503"/>
      <c r="I129" s="506"/>
      <c r="J129" s="506"/>
      <c r="K129" s="507"/>
      <c r="L129" s="155" t="s">
        <v>82</v>
      </c>
    </row>
    <row r="130" spans="2:14" s="122" customFormat="1" ht="16.5" thickTop="1" thickBot="1" x14ac:dyDescent="0.3">
      <c r="B130" s="474"/>
      <c r="C130" s="650" t="s">
        <v>49</v>
      </c>
      <c r="D130" s="652" t="s">
        <v>45</v>
      </c>
      <c r="E130" s="508" t="s">
        <v>77</v>
      </c>
      <c r="F130" s="509">
        <v>10</v>
      </c>
      <c r="G130" s="510">
        <v>14</v>
      </c>
      <c r="H130" s="511" t="s">
        <v>33</v>
      </c>
      <c r="I130" s="512">
        <v>2000</v>
      </c>
      <c r="J130" s="512">
        <f>I130*G130</f>
        <v>28000</v>
      </c>
      <c r="K130" s="513"/>
      <c r="L130" s="192"/>
    </row>
    <row r="131" spans="2:14" s="122" customFormat="1" ht="15.75" thickTop="1" x14ac:dyDescent="0.25">
      <c r="B131" s="474"/>
      <c r="C131" s="650"/>
      <c r="D131" s="653"/>
      <c r="E131" s="576" t="s">
        <v>343</v>
      </c>
      <c r="F131" s="515">
        <v>50</v>
      </c>
      <c r="G131" s="577">
        <v>1</v>
      </c>
      <c r="H131" s="516" t="s">
        <v>33</v>
      </c>
      <c r="I131" s="517">
        <v>27000</v>
      </c>
      <c r="J131" s="512">
        <f>I131*G131</f>
        <v>27000</v>
      </c>
      <c r="K131" s="513"/>
      <c r="L131" s="192"/>
    </row>
    <row r="132" spans="2:14" s="122" customFormat="1" x14ac:dyDescent="0.25">
      <c r="B132" s="474"/>
      <c r="C132" s="650"/>
      <c r="D132" s="653"/>
      <c r="E132" s="576" t="s">
        <v>342</v>
      </c>
      <c r="F132" s="515">
        <v>10</v>
      </c>
      <c r="G132" s="577">
        <v>1</v>
      </c>
      <c r="H132" s="516" t="s">
        <v>33</v>
      </c>
      <c r="I132" s="517">
        <v>1000</v>
      </c>
      <c r="J132" s="517">
        <v>1000</v>
      </c>
      <c r="K132" s="513"/>
      <c r="L132" s="192"/>
    </row>
    <row r="133" spans="2:14" s="122" customFormat="1" x14ac:dyDescent="0.25">
      <c r="B133" s="474"/>
      <c r="C133" s="650"/>
      <c r="D133" s="653"/>
      <c r="E133" s="514" t="s">
        <v>70</v>
      </c>
      <c r="F133" s="515">
        <v>10</v>
      </c>
      <c r="G133" s="577">
        <f>+G122*(1-0.625)-G134</f>
        <v>2700</v>
      </c>
      <c r="H133" s="516" t="s">
        <v>6</v>
      </c>
      <c r="I133" s="517">
        <v>31.9</v>
      </c>
      <c r="J133" s="517">
        <f>G133*I133</f>
        <v>86130</v>
      </c>
      <c r="K133" s="513"/>
      <c r="L133" s="192"/>
    </row>
    <row r="134" spans="2:14" s="122" customFormat="1" ht="15.75" thickBot="1" x14ac:dyDescent="0.3">
      <c r="B134" s="474"/>
      <c r="C134" s="650"/>
      <c r="D134" s="654"/>
      <c r="E134" s="518" t="s">
        <v>143</v>
      </c>
      <c r="F134" s="519">
        <v>5</v>
      </c>
      <c r="G134" s="520">
        <f>G122*0.3</f>
        <v>10800</v>
      </c>
      <c r="H134" s="521" t="s">
        <v>6</v>
      </c>
      <c r="I134" s="522">
        <v>8</v>
      </c>
      <c r="J134" s="522">
        <f>G134*I134</f>
        <v>86400</v>
      </c>
      <c r="K134" s="513"/>
    </row>
    <row r="135" spans="2:14" s="122" customFormat="1" ht="16.5" thickTop="1" thickBot="1" x14ac:dyDescent="0.3">
      <c r="B135" s="500"/>
      <c r="C135" s="651"/>
      <c r="D135" s="523" t="s">
        <v>47</v>
      </c>
      <c r="E135" s="524" t="s">
        <v>50</v>
      </c>
      <c r="F135" s="525">
        <v>30</v>
      </c>
      <c r="G135" s="526">
        <v>1</v>
      </c>
      <c r="H135" s="527" t="s">
        <v>27</v>
      </c>
      <c r="I135" s="528">
        <v>100000</v>
      </c>
      <c r="J135" s="528">
        <v>100000</v>
      </c>
      <c r="K135" s="529"/>
      <c r="M135" s="530" t="s">
        <v>88</v>
      </c>
      <c r="N135" s="530">
        <v>10</v>
      </c>
    </row>
    <row r="136" spans="2:14" x14ac:dyDescent="0.25">
      <c r="M136" s="530" t="s">
        <v>89</v>
      </c>
      <c r="N136" s="530">
        <v>15</v>
      </c>
    </row>
    <row r="137" spans="2:14" x14ac:dyDescent="0.25">
      <c r="M137" s="303" t="s">
        <v>90</v>
      </c>
      <c r="N137" s="303">
        <v>30</v>
      </c>
    </row>
    <row r="138" spans="2:14" x14ac:dyDescent="0.25">
      <c r="M138" s="530" t="s">
        <v>92</v>
      </c>
      <c r="N138" s="530">
        <v>35</v>
      </c>
    </row>
    <row r="139" spans="2:14" x14ac:dyDescent="0.25">
      <c r="M139" s="530" t="s">
        <v>304</v>
      </c>
      <c r="N139" s="530">
        <v>20</v>
      </c>
    </row>
    <row r="141" spans="2:14" x14ac:dyDescent="0.25">
      <c r="E141" t="s">
        <v>378</v>
      </c>
      <c r="F141" s="609">
        <f>SUM(J116:J120)</f>
        <v>2373288.6639999999</v>
      </c>
    </row>
    <row r="142" spans="2:14" x14ac:dyDescent="0.25">
      <c r="E142" t="s">
        <v>373</v>
      </c>
      <c r="F142" s="609">
        <f>J121</f>
        <v>3008198.29</v>
      </c>
    </row>
    <row r="143" spans="2:14" x14ac:dyDescent="0.25">
      <c r="E143" t="s">
        <v>154</v>
      </c>
      <c r="F143" s="609">
        <f>J122+J127</f>
        <v>1926015</v>
      </c>
    </row>
    <row r="144" spans="2:14" x14ac:dyDescent="0.25">
      <c r="E144" t="s">
        <v>374</v>
      </c>
      <c r="F144" s="609">
        <f>SUM(J123:J126)</f>
        <v>3351981.1101785395</v>
      </c>
    </row>
    <row r="145" spans="5:6" x14ac:dyDescent="0.25">
      <c r="E145" t="s">
        <v>375</v>
      </c>
      <c r="F145" s="609">
        <f>J128</f>
        <v>443487.15</v>
      </c>
    </row>
    <row r="146" spans="5:6" x14ac:dyDescent="0.25">
      <c r="E146" t="s">
        <v>376</v>
      </c>
      <c r="F146" s="609">
        <f>SUM(F141:F145)</f>
        <v>11102970.21417854</v>
      </c>
    </row>
    <row r="147" spans="5:6" x14ac:dyDescent="0.25">
      <c r="E147" t="s">
        <v>377</v>
      </c>
      <c r="F147" s="609">
        <f>K7</f>
        <v>1005600</v>
      </c>
    </row>
    <row r="148" spans="5:6" x14ac:dyDescent="0.25">
      <c r="E148" t="s">
        <v>140</v>
      </c>
      <c r="F148" s="609">
        <f>F147+F146</f>
        <v>12108570.21417854</v>
      </c>
    </row>
  </sheetData>
  <mergeCells count="18">
    <mergeCell ref="C24:C30"/>
    <mergeCell ref="C44:C51"/>
    <mergeCell ref="D99:D103"/>
    <mergeCell ref="D106:D110"/>
    <mergeCell ref="C65:C71"/>
    <mergeCell ref="C85:C91"/>
    <mergeCell ref="C106:C111"/>
    <mergeCell ref="D79:D83"/>
    <mergeCell ref="D66:D70"/>
    <mergeCell ref="D86:D90"/>
    <mergeCell ref="D24:D28"/>
    <mergeCell ref="D17:D21"/>
    <mergeCell ref="D59:D63"/>
    <mergeCell ref="D45:D49"/>
    <mergeCell ref="D38:D42"/>
    <mergeCell ref="D123:D127"/>
    <mergeCell ref="C130:C135"/>
    <mergeCell ref="D130:D134"/>
  </mergeCells>
  <pageMargins left="0.7" right="0.7" top="0.75" bottom="0.75" header="0.3" footer="0.3"/>
  <pageSetup paperSize="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F31"/>
  <sheetViews>
    <sheetView topLeftCell="B1" zoomScale="54" zoomScaleNormal="85" workbookViewId="0">
      <selection activeCell="X31" sqref="X31"/>
    </sheetView>
  </sheetViews>
  <sheetFormatPr defaultColWidth="9.140625" defaultRowHeight="15" x14ac:dyDescent="0.25"/>
  <cols>
    <col min="1" max="1" width="59" style="122" bestFit="1" customWidth="1"/>
    <col min="2" max="3" width="9.140625" style="122"/>
    <col min="4" max="5" width="20" style="124" bestFit="1" customWidth="1"/>
    <col min="6" max="6" width="30.42578125" style="122" customWidth="1"/>
    <col min="7" max="7" width="18.85546875" style="122" customWidth="1"/>
    <col min="8" max="16384" width="9.140625" style="122"/>
  </cols>
  <sheetData>
    <row r="1" spans="1:6" x14ac:dyDescent="0.25">
      <c r="A1" s="122" t="s">
        <v>144</v>
      </c>
    </row>
    <row r="2" spans="1:6" x14ac:dyDescent="0.25">
      <c r="A2" s="122" t="s">
        <v>334</v>
      </c>
    </row>
    <row r="5" spans="1:6" x14ac:dyDescent="0.25">
      <c r="A5" s="349" t="s">
        <v>145</v>
      </c>
      <c r="B5" s="349" t="s">
        <v>65</v>
      </c>
      <c r="C5" s="349" t="s">
        <v>142</v>
      </c>
      <c r="D5" s="350" t="s">
        <v>64</v>
      </c>
      <c r="E5" s="350" t="s">
        <v>146</v>
      </c>
      <c r="F5" s="349" t="s">
        <v>147</v>
      </c>
    </row>
    <row r="6" spans="1:6" x14ac:dyDescent="0.25">
      <c r="A6" s="250" t="s">
        <v>285</v>
      </c>
      <c r="B6" s="144">
        <v>43</v>
      </c>
      <c r="C6" s="158"/>
      <c r="D6" s="125">
        <v>15500</v>
      </c>
      <c r="E6" s="364">
        <f>D6*B6</f>
        <v>666500</v>
      </c>
      <c r="F6" s="158"/>
    </row>
    <row r="7" spans="1:6" x14ac:dyDescent="0.25">
      <c r="A7" s="250" t="s">
        <v>286</v>
      </c>
      <c r="B7" s="144">
        <v>43</v>
      </c>
      <c r="C7" s="158"/>
      <c r="D7" s="125">
        <v>3700</v>
      </c>
      <c r="E7" s="364">
        <f t="shared" ref="E7:E9" si="0">D7*B7</f>
        <v>159100</v>
      </c>
      <c r="F7" s="158"/>
    </row>
    <row r="8" spans="1:6" x14ac:dyDescent="0.25">
      <c r="A8" s="250" t="s">
        <v>287</v>
      </c>
      <c r="B8" s="144">
        <v>1</v>
      </c>
      <c r="C8" s="158"/>
      <c r="D8" s="125">
        <v>88000</v>
      </c>
      <c r="E8" s="364">
        <f t="shared" si="0"/>
        <v>88000</v>
      </c>
      <c r="F8" s="158"/>
    </row>
    <row r="9" spans="1:6" x14ac:dyDescent="0.25">
      <c r="A9" s="250" t="s">
        <v>288</v>
      </c>
      <c r="B9" s="144">
        <v>1</v>
      </c>
      <c r="C9" s="158"/>
      <c r="D9" s="125">
        <v>92000</v>
      </c>
      <c r="E9" s="364">
        <f t="shared" si="0"/>
        <v>92000</v>
      </c>
      <c r="F9" s="158"/>
    </row>
    <row r="10" spans="1:6" x14ac:dyDescent="0.25">
      <c r="A10" s="158" t="s">
        <v>335</v>
      </c>
      <c r="B10" s="158"/>
      <c r="C10" s="158"/>
      <c r="D10" s="363"/>
      <c r="E10" s="364"/>
      <c r="F10" s="158"/>
    </row>
    <row r="11" spans="1:6" x14ac:dyDescent="0.25">
      <c r="A11" s="432"/>
      <c r="B11" s="432"/>
      <c r="C11" s="432"/>
      <c r="D11" s="433"/>
      <c r="E11" s="433"/>
      <c r="F11" s="432"/>
    </row>
    <row r="12" spans="1:6" x14ac:dyDescent="0.25">
      <c r="A12" s="158"/>
      <c r="B12" s="158"/>
      <c r="C12" s="158"/>
      <c r="D12" s="363"/>
      <c r="E12" s="364"/>
      <c r="F12" s="158"/>
    </row>
    <row r="13" spans="1:6" x14ac:dyDescent="0.25">
      <c r="A13" s="432" t="s">
        <v>148</v>
      </c>
      <c r="B13" s="432"/>
      <c r="C13" s="432"/>
      <c r="D13" s="433"/>
      <c r="E13" s="433"/>
      <c r="F13" s="432"/>
    </row>
    <row r="14" spans="1:6" x14ac:dyDescent="0.25">
      <c r="A14" s="158" t="s">
        <v>149</v>
      </c>
      <c r="B14" s="158">
        <v>1</v>
      </c>
      <c r="C14" s="158" t="s">
        <v>33</v>
      </c>
      <c r="D14" s="363">
        <f>+'Construction Costs_2022'!J116</f>
        <v>30000</v>
      </c>
      <c r="E14" s="364">
        <f t="shared" ref="E14:E19" si="1">D14*B14</f>
        <v>30000</v>
      </c>
      <c r="F14" s="158"/>
    </row>
    <row r="15" spans="1:6" ht="30" x14ac:dyDescent="0.25">
      <c r="A15" s="430" t="s">
        <v>150</v>
      </c>
      <c r="B15" s="431">
        <v>1</v>
      </c>
      <c r="C15" s="431" t="s">
        <v>33</v>
      </c>
      <c r="D15" s="364">
        <f>'Construction Costs_2022'!J117</f>
        <v>1961288.6640000001</v>
      </c>
      <c r="E15" s="364">
        <f t="shared" si="1"/>
        <v>1961288.6640000001</v>
      </c>
      <c r="F15" s="351"/>
    </row>
    <row r="16" spans="1:6" x14ac:dyDescent="0.25">
      <c r="A16" s="158" t="s">
        <v>151</v>
      </c>
      <c r="B16" s="158">
        <v>14</v>
      </c>
      <c r="C16" s="158" t="s">
        <v>152</v>
      </c>
      <c r="D16" s="363">
        <f>+'Construction Costs_2022'!I119</f>
        <v>18000</v>
      </c>
      <c r="E16" s="364">
        <f t="shared" si="1"/>
        <v>252000</v>
      </c>
      <c r="F16" s="158"/>
    </row>
    <row r="17" spans="1:6" x14ac:dyDescent="0.25">
      <c r="A17" s="158" t="s">
        <v>153</v>
      </c>
      <c r="B17" s="158">
        <v>1</v>
      </c>
      <c r="C17" s="158" t="s">
        <v>33</v>
      </c>
      <c r="D17" s="363">
        <f>+'Construction Costs_2022'!J120</f>
        <v>100000</v>
      </c>
      <c r="E17" s="364">
        <f t="shared" si="1"/>
        <v>100000</v>
      </c>
      <c r="F17" s="158"/>
    </row>
    <row r="18" spans="1:6" x14ac:dyDescent="0.25">
      <c r="A18" s="158" t="s">
        <v>154</v>
      </c>
      <c r="B18" s="158">
        <v>36000</v>
      </c>
      <c r="C18" s="158" t="s">
        <v>6</v>
      </c>
      <c r="D18" s="363">
        <f>+'Construction Costs_2022'!I122</f>
        <v>30.94</v>
      </c>
      <c r="E18" s="364">
        <f t="shared" si="1"/>
        <v>1113840</v>
      </c>
      <c r="F18" s="158"/>
    </row>
    <row r="19" spans="1:6" x14ac:dyDescent="0.25">
      <c r="A19" s="158" t="str">
        <f>+'Construction Costs_2022'!E121</f>
        <v>1no. Offshore breakwater</v>
      </c>
      <c r="B19" s="158">
        <v>1</v>
      </c>
      <c r="C19" s="158" t="s">
        <v>33</v>
      </c>
      <c r="D19" s="363">
        <f>+'Construction Costs_2022'!I121</f>
        <v>3008198.29</v>
      </c>
      <c r="E19" s="364">
        <f t="shared" si="1"/>
        <v>3008198.29</v>
      </c>
      <c r="F19" s="158"/>
    </row>
    <row r="20" spans="1:6" x14ac:dyDescent="0.25">
      <c r="A20" s="432" t="s">
        <v>155</v>
      </c>
      <c r="B20" s="432"/>
      <c r="C20" s="432"/>
      <c r="D20" s="433"/>
      <c r="E20" s="433"/>
      <c r="F20" s="432"/>
    </row>
    <row r="21" spans="1:6" x14ac:dyDescent="0.25">
      <c r="A21" s="158" t="s">
        <v>156</v>
      </c>
      <c r="B21" s="158">
        <f>+'Construction Costs_2022'!G123</f>
        <v>5583.0896127148126</v>
      </c>
      <c r="C21" s="158" t="s">
        <v>6</v>
      </c>
      <c r="D21" s="363">
        <f>+'Construction Costs_2022'!I123</f>
        <v>166.39193969999999</v>
      </c>
      <c r="E21" s="364">
        <f t="shared" ref="E21:E25" si="2">D21*B21</f>
        <v>928981.11017853941</v>
      </c>
      <c r="F21" s="158"/>
    </row>
    <row r="22" spans="1:6" x14ac:dyDescent="0.25">
      <c r="A22" s="158" t="s">
        <v>157</v>
      </c>
      <c r="B22" s="158">
        <v>1</v>
      </c>
      <c r="C22" s="158" t="s">
        <v>33</v>
      </c>
      <c r="D22" s="363">
        <f>+'Construction Costs_2022'!J126</f>
        <v>500000</v>
      </c>
      <c r="E22" s="364">
        <f t="shared" si="2"/>
        <v>500000</v>
      </c>
      <c r="F22" s="158"/>
    </row>
    <row r="23" spans="1:6" x14ac:dyDescent="0.25">
      <c r="A23" s="158" t="s">
        <v>299</v>
      </c>
      <c r="B23" s="158">
        <v>1</v>
      </c>
      <c r="C23" s="158" t="s">
        <v>33</v>
      </c>
      <c r="D23" s="363">
        <f>+'Construction Costs_2022'!I124</f>
        <v>110000</v>
      </c>
      <c r="E23" s="364">
        <f t="shared" si="2"/>
        <v>110000</v>
      </c>
      <c r="F23" s="158"/>
    </row>
    <row r="24" spans="1:6" x14ac:dyDescent="0.25">
      <c r="A24" s="158" t="s">
        <v>176</v>
      </c>
      <c r="B24" s="158">
        <v>1</v>
      </c>
      <c r="C24" s="158" t="s">
        <v>33</v>
      </c>
      <c r="D24" s="363">
        <f>+'Construction Costs_2022'!I125</f>
        <v>1813000</v>
      </c>
      <c r="E24" s="364">
        <f t="shared" si="2"/>
        <v>1813000</v>
      </c>
      <c r="F24" s="158"/>
    </row>
    <row r="25" spans="1:6" x14ac:dyDescent="0.25">
      <c r="A25" s="158" t="s">
        <v>70</v>
      </c>
      <c r="B25" s="158">
        <v>26250</v>
      </c>
      <c r="C25" s="158" t="s">
        <v>6</v>
      </c>
      <c r="D25" s="363">
        <v>30.94</v>
      </c>
      <c r="E25" s="364">
        <f t="shared" si="2"/>
        <v>812175</v>
      </c>
      <c r="F25" s="158"/>
    </row>
    <row r="26" spans="1:6" x14ac:dyDescent="0.25">
      <c r="A26" s="158"/>
      <c r="B26" s="158"/>
      <c r="C26" s="158"/>
      <c r="D26" s="363"/>
      <c r="E26" s="364"/>
      <c r="F26" s="158"/>
    </row>
    <row r="27" spans="1:6" x14ac:dyDescent="0.25">
      <c r="A27" s="432" t="s">
        <v>158</v>
      </c>
      <c r="B27" s="432"/>
      <c r="C27" s="432"/>
      <c r="D27" s="433"/>
      <c r="E27" s="433"/>
      <c r="F27" s="432"/>
    </row>
    <row r="28" spans="1:6" x14ac:dyDescent="0.25">
      <c r="A28" s="158" t="s">
        <v>159</v>
      </c>
      <c r="B28" s="158">
        <v>1</v>
      </c>
      <c r="C28" s="158" t="s">
        <v>33</v>
      </c>
      <c r="D28" s="363">
        <f>+'Construction Costs_2022'!I128</f>
        <v>443487.15</v>
      </c>
      <c r="E28" s="364">
        <f>D28*B28</f>
        <v>443487.15</v>
      </c>
      <c r="F28" s="158"/>
    </row>
    <row r="29" spans="1:6" x14ac:dyDescent="0.25">
      <c r="A29" s="158"/>
      <c r="B29" s="158"/>
      <c r="C29" s="158"/>
      <c r="D29" s="352"/>
      <c r="E29" s="392"/>
      <c r="F29" s="158"/>
    </row>
    <row r="30" spans="1:6" x14ac:dyDescent="0.25">
      <c r="A30" s="349" t="s">
        <v>160</v>
      </c>
      <c r="B30" s="158"/>
      <c r="C30" s="158"/>
      <c r="D30" s="352"/>
      <c r="E30" s="353">
        <f>SUM(E6:E29)</f>
        <v>12078570.21417854</v>
      </c>
      <c r="F30" s="158"/>
    </row>
    <row r="31" spans="1:6" x14ac:dyDescent="0.25">
      <c r="A31" s="158"/>
      <c r="B31" s="158"/>
      <c r="C31" s="158"/>
      <c r="D31" s="352"/>
      <c r="E31" s="352"/>
      <c r="F31" s="15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BJ125"/>
  <sheetViews>
    <sheetView topLeftCell="A7" zoomScale="70" zoomScaleNormal="70" workbookViewId="0">
      <selection activeCell="D10" sqref="D10:E10"/>
    </sheetView>
  </sheetViews>
  <sheetFormatPr defaultRowHeight="15" x14ac:dyDescent="0.25"/>
  <cols>
    <col min="3" max="3" width="14.42578125" customWidth="1"/>
    <col min="4" max="6" width="13.5703125" customWidth="1"/>
    <col min="7" max="7" width="14.140625" bestFit="1" customWidth="1"/>
    <col min="8" max="12" width="13.5703125" customWidth="1"/>
    <col min="13" max="13" width="17.140625" bestFit="1" customWidth="1"/>
    <col min="14" max="14" width="15.42578125" customWidth="1"/>
    <col min="15" max="23" width="13.5703125" customWidth="1"/>
    <col min="24" max="24" width="15.42578125" customWidth="1"/>
    <col min="25" max="31" width="13.5703125" customWidth="1"/>
    <col min="32" max="32" width="13.5703125" bestFit="1" customWidth="1"/>
    <col min="33" max="33" width="17.140625" customWidth="1"/>
    <col min="34" max="34" width="14.140625" customWidth="1"/>
    <col min="35" max="35" width="12.140625" bestFit="1" customWidth="1"/>
    <col min="36" max="36" width="11.42578125" customWidth="1"/>
    <col min="37" max="37" width="13.42578125" bestFit="1" customWidth="1"/>
    <col min="38" max="38" width="11.42578125" customWidth="1"/>
    <col min="39" max="39" width="12.42578125" customWidth="1"/>
    <col min="40" max="41" width="8.85546875" customWidth="1"/>
    <col min="42" max="42" width="13.42578125" bestFit="1" customWidth="1"/>
    <col min="43" max="43" width="16" customWidth="1"/>
    <col min="44" max="44" width="14.5703125" customWidth="1"/>
    <col min="45" max="45" width="12.140625" bestFit="1" customWidth="1"/>
    <col min="46" max="46" width="11.42578125" customWidth="1"/>
    <col min="47" max="47" width="13.42578125" customWidth="1"/>
    <col min="48" max="48" width="13" customWidth="1"/>
    <col min="49" max="49" width="12.5703125" customWidth="1"/>
    <col min="50" max="50" width="10" bestFit="1" customWidth="1"/>
    <col min="51" max="51" width="9.42578125" customWidth="1"/>
    <col min="52" max="52" width="13" customWidth="1"/>
    <col min="53" max="53" width="16" style="122" customWidth="1"/>
    <col min="54" max="54" width="14.5703125" style="122" customWidth="1"/>
    <col min="55" max="55" width="12.140625" style="122" bestFit="1" customWidth="1"/>
    <col min="56" max="56" width="11.42578125" style="122" bestFit="1" customWidth="1"/>
    <col min="57" max="57" width="13.42578125" style="122" bestFit="1" customWidth="1"/>
    <col min="58" max="58" width="13" style="122" bestFit="1" customWidth="1"/>
    <col min="59" max="59" width="12.5703125" style="122" bestFit="1" customWidth="1"/>
    <col min="60" max="60" width="12" style="122" customWidth="1"/>
    <col min="61" max="61" width="9.42578125" style="122" bestFit="1" customWidth="1"/>
    <col min="62" max="62" width="13.5703125" style="122" bestFit="1" customWidth="1"/>
  </cols>
  <sheetData>
    <row r="1" spans="1:62" s="3" customFormat="1" ht="18" x14ac:dyDescent="0.25">
      <c r="A1" s="55"/>
      <c r="B1" s="15"/>
      <c r="C1" s="68"/>
      <c r="D1" s="68"/>
      <c r="E1" s="15"/>
      <c r="F1" s="15"/>
      <c r="G1" s="15"/>
      <c r="H1" s="15"/>
      <c r="I1" s="18"/>
      <c r="J1" s="15"/>
      <c r="K1" s="15"/>
      <c r="L1" s="16"/>
      <c r="M1" s="16"/>
      <c r="N1" s="16"/>
      <c r="O1" s="69"/>
      <c r="P1" s="16"/>
      <c r="Q1" s="16"/>
      <c r="R1" s="16"/>
      <c r="S1" s="16"/>
      <c r="T1" s="16"/>
      <c r="U1" s="15"/>
      <c r="V1" s="16"/>
      <c r="W1" s="16"/>
      <c r="X1" s="16"/>
      <c r="Y1" s="16"/>
      <c r="Z1" s="16"/>
      <c r="AA1" s="16"/>
      <c r="AB1" s="16"/>
      <c r="AC1" s="136"/>
      <c r="AD1" s="16"/>
      <c r="AE1" s="15"/>
      <c r="AF1" s="16"/>
      <c r="AG1" s="16"/>
      <c r="AH1" s="16"/>
      <c r="AI1" s="16"/>
      <c r="AJ1" s="16"/>
      <c r="AK1" s="16"/>
      <c r="AL1" s="16"/>
      <c r="AM1" s="16"/>
      <c r="AN1" s="16"/>
      <c r="AO1" s="16"/>
    </row>
    <row r="2" spans="1:62" s="3" customFormat="1" ht="12.75" x14ac:dyDescent="0.2">
      <c r="A2" s="56" t="s">
        <v>7</v>
      </c>
      <c r="B2" s="16"/>
      <c r="C2" s="16"/>
      <c r="D2" s="16"/>
      <c r="E2" s="16"/>
      <c r="F2" s="16"/>
      <c r="G2" s="16"/>
      <c r="H2" s="16"/>
      <c r="I2" s="18"/>
      <c r="J2" s="16"/>
      <c r="K2" s="16"/>
      <c r="L2" s="16"/>
      <c r="M2" s="16"/>
      <c r="N2" s="16"/>
      <c r="O2" s="16"/>
      <c r="P2" s="16"/>
      <c r="Q2" s="16"/>
      <c r="R2" s="16"/>
      <c r="S2" s="16"/>
      <c r="T2" s="16"/>
      <c r="U2" s="16"/>
      <c r="V2" s="16"/>
      <c r="W2" s="16"/>
      <c r="X2" s="16"/>
      <c r="Y2" s="16"/>
      <c r="Z2" s="16"/>
      <c r="AA2" s="16"/>
      <c r="AB2" s="16"/>
      <c r="AC2" s="136"/>
      <c r="AD2" s="16"/>
      <c r="AE2" s="16"/>
      <c r="AF2" s="16"/>
      <c r="AG2" s="16"/>
      <c r="AH2" s="16"/>
      <c r="AI2" s="16"/>
      <c r="AJ2" s="16"/>
      <c r="AK2" s="16"/>
      <c r="AL2" s="16"/>
      <c r="AM2" s="16"/>
      <c r="AN2" s="16"/>
      <c r="AO2" s="16"/>
    </row>
    <row r="3" spans="1:62" s="3" customFormat="1" ht="12.75" x14ac:dyDescent="0.2">
      <c r="A3" s="70" t="s">
        <v>25</v>
      </c>
      <c r="B3" s="58"/>
      <c r="C3" s="58"/>
      <c r="D3" s="58"/>
      <c r="E3" s="16"/>
      <c r="F3" s="16"/>
      <c r="G3" s="16"/>
      <c r="H3" s="16"/>
      <c r="I3" s="18"/>
      <c r="J3" s="16"/>
      <c r="K3" s="16"/>
      <c r="L3" s="16"/>
      <c r="M3" s="16"/>
      <c r="N3" s="16"/>
      <c r="O3" s="16"/>
      <c r="P3" s="16"/>
      <c r="Q3" s="16"/>
      <c r="R3" s="16"/>
      <c r="S3" s="16"/>
      <c r="T3" s="16"/>
      <c r="U3" s="16"/>
      <c r="V3" s="16"/>
      <c r="W3" s="16"/>
      <c r="X3" s="16"/>
      <c r="Y3" s="16"/>
      <c r="Z3" s="16"/>
      <c r="AA3" s="16"/>
      <c r="AB3" s="16"/>
      <c r="AC3" s="136"/>
      <c r="AD3" s="16"/>
      <c r="AE3" s="16"/>
      <c r="AF3" s="16"/>
      <c r="AG3" s="16"/>
      <c r="AH3" s="16"/>
      <c r="AI3" s="16"/>
      <c r="AJ3" s="16"/>
      <c r="AK3" s="16"/>
      <c r="AL3" s="16"/>
      <c r="AM3" s="16"/>
      <c r="AN3" s="16"/>
      <c r="AO3" s="16"/>
    </row>
    <row r="4" spans="1:62" s="3" customFormat="1" x14ac:dyDescent="0.25">
      <c r="A4" s="56" t="s">
        <v>8</v>
      </c>
      <c r="B4" s="16"/>
      <c r="C4" s="16"/>
      <c r="D4" s="16"/>
      <c r="E4" s="16"/>
      <c r="F4" s="16"/>
      <c r="G4" s="57"/>
      <c r="H4" s="57"/>
      <c r="I4" s="18"/>
      <c r="J4" s="16"/>
      <c r="K4" s="16"/>
      <c r="L4" s="16"/>
      <c r="M4" s="57"/>
      <c r="N4" s="57"/>
      <c r="O4" s="71"/>
      <c r="P4" s="71"/>
      <c r="Q4" s="18"/>
      <c r="R4" s="18"/>
      <c r="S4" s="16"/>
      <c r="T4" s="18"/>
      <c r="U4" s="16"/>
      <c r="V4" s="16"/>
      <c r="W4" s="18"/>
      <c r="X4" s="18"/>
      <c r="Y4" s="18"/>
      <c r="Z4" s="18"/>
      <c r="AA4" s="18"/>
      <c r="AB4" s="18"/>
      <c r="AC4" s="137"/>
      <c r="AD4" s="18"/>
      <c r="AE4" s="16"/>
      <c r="AF4" s="16"/>
      <c r="AG4" s="17"/>
      <c r="AH4" s="16"/>
      <c r="AI4" s="16"/>
      <c r="AJ4" s="16"/>
      <c r="AK4" s="16"/>
      <c r="AL4" s="16"/>
      <c r="AM4" s="16"/>
      <c r="AN4" s="16"/>
      <c r="AO4" s="16"/>
    </row>
    <row r="5" spans="1:62" s="3" customFormat="1" ht="12.75" x14ac:dyDescent="0.2">
      <c r="A5" s="70" t="s">
        <v>30</v>
      </c>
      <c r="B5" s="58"/>
      <c r="C5" s="58"/>
      <c r="D5" s="58"/>
      <c r="E5" s="16"/>
      <c r="F5" s="16"/>
      <c r="G5" s="58"/>
      <c r="H5" s="58"/>
      <c r="I5" s="18"/>
      <c r="J5" s="58"/>
      <c r="K5" s="58"/>
      <c r="L5" s="58"/>
      <c r="M5" s="57"/>
      <c r="N5" s="57"/>
      <c r="O5" s="19"/>
      <c r="P5" s="19"/>
      <c r="Q5" s="19"/>
      <c r="R5" s="19"/>
      <c r="S5" s="16"/>
      <c r="T5" s="19"/>
      <c r="U5" s="58"/>
      <c r="V5" s="58"/>
      <c r="W5" s="19"/>
      <c r="X5" s="19"/>
      <c r="Y5" s="19"/>
      <c r="Z5" s="19"/>
      <c r="AA5" s="19"/>
      <c r="AB5" s="19"/>
      <c r="AC5" s="138"/>
      <c r="AD5" s="19"/>
      <c r="AE5" s="58"/>
      <c r="AF5" s="58"/>
      <c r="AG5" s="17"/>
      <c r="AH5" s="16"/>
      <c r="AI5" s="16"/>
      <c r="AJ5" s="16"/>
      <c r="AK5" s="16"/>
      <c r="AL5" s="16"/>
      <c r="AM5" s="16"/>
      <c r="AN5" s="16"/>
      <c r="AO5" s="16"/>
    </row>
    <row r="6" spans="1:62" s="3" customFormat="1" ht="12.75" x14ac:dyDescent="0.2">
      <c r="A6" s="56" t="s">
        <v>9</v>
      </c>
      <c r="B6" s="16"/>
      <c r="C6" s="59"/>
      <c r="D6" s="60"/>
      <c r="E6" s="16"/>
      <c r="F6" s="16"/>
      <c r="G6" s="16"/>
      <c r="H6" s="16"/>
      <c r="I6" s="18"/>
      <c r="J6" s="16"/>
      <c r="K6" s="16"/>
      <c r="L6" s="16"/>
      <c r="M6" s="57"/>
      <c r="N6" s="57"/>
      <c r="O6" s="72"/>
      <c r="P6" s="72"/>
      <c r="Q6" s="18"/>
      <c r="R6" s="18"/>
      <c r="S6" s="16"/>
      <c r="T6" s="72"/>
      <c r="U6" s="16"/>
      <c r="V6" s="16"/>
      <c r="W6" s="18"/>
      <c r="X6" s="72"/>
      <c r="Y6" s="18"/>
      <c r="Z6" s="18"/>
      <c r="AA6" s="72"/>
      <c r="AB6" s="72"/>
      <c r="AC6" s="139"/>
      <c r="AD6" s="72"/>
      <c r="AE6" s="16"/>
      <c r="AF6" s="16"/>
      <c r="AG6" s="17"/>
      <c r="AH6" s="16"/>
      <c r="AI6" s="16"/>
      <c r="AJ6" s="16"/>
      <c r="AK6" s="16"/>
      <c r="AL6" s="16"/>
      <c r="AM6" s="16"/>
      <c r="AN6" s="16"/>
      <c r="AO6" s="16"/>
      <c r="BB6" s="534"/>
    </row>
    <row r="7" spans="1:62" s="3" customFormat="1" ht="12.75" x14ac:dyDescent="0.2">
      <c r="A7" s="61" t="s">
        <v>10</v>
      </c>
      <c r="B7" s="16"/>
      <c r="C7" s="16"/>
      <c r="D7" s="62">
        <v>43101</v>
      </c>
      <c r="E7" s="16"/>
      <c r="F7" s="16"/>
      <c r="G7" s="16"/>
      <c r="H7" s="16"/>
      <c r="I7" s="18"/>
      <c r="J7" s="16"/>
      <c r="K7" s="16"/>
      <c r="L7" s="16"/>
      <c r="M7" s="57"/>
      <c r="N7" s="57"/>
      <c r="O7" s="72"/>
      <c r="P7" s="72"/>
      <c r="Q7" s="18"/>
      <c r="R7" s="18"/>
      <c r="S7" s="16"/>
      <c r="T7" s="72"/>
      <c r="U7" s="16"/>
      <c r="V7" s="16"/>
      <c r="W7" s="18"/>
      <c r="X7" s="72"/>
      <c r="Y7" s="18"/>
      <c r="Z7" s="18"/>
      <c r="AA7" s="72"/>
      <c r="AB7" s="72"/>
      <c r="AC7" s="72"/>
      <c r="AD7" s="72"/>
      <c r="AE7" s="16"/>
      <c r="AF7" s="16"/>
      <c r="AG7" s="17"/>
      <c r="AH7" s="16"/>
      <c r="AI7" s="16"/>
      <c r="AJ7" s="16"/>
      <c r="AK7" s="16"/>
      <c r="AL7" s="16"/>
      <c r="AM7" s="16"/>
      <c r="AN7" s="16"/>
      <c r="AO7" s="16"/>
    </row>
    <row r="8" spans="1:62" s="3" customFormat="1" ht="12.75" x14ac:dyDescent="0.2">
      <c r="A8" s="61" t="s">
        <v>11</v>
      </c>
      <c r="B8" s="16"/>
      <c r="C8" s="16"/>
      <c r="D8" s="60" t="s">
        <v>29</v>
      </c>
      <c r="E8" s="16"/>
      <c r="F8" s="16"/>
      <c r="G8" s="16"/>
      <c r="H8" s="16"/>
      <c r="I8" s="18"/>
      <c r="J8" s="16"/>
      <c r="K8" s="16"/>
      <c r="L8" s="16"/>
      <c r="M8" s="57"/>
      <c r="N8" s="57"/>
      <c r="O8" s="73"/>
      <c r="P8" s="73"/>
      <c r="Q8" s="63"/>
      <c r="R8" s="63"/>
      <c r="S8" s="16"/>
      <c r="T8" s="73"/>
      <c r="U8" s="16"/>
      <c r="V8" s="16"/>
      <c r="W8" s="63"/>
      <c r="X8" s="73"/>
      <c r="Y8" s="63"/>
      <c r="Z8" s="18"/>
      <c r="AA8" s="73"/>
      <c r="AB8" s="73"/>
      <c r="AC8" s="73"/>
      <c r="AD8" s="73"/>
      <c r="AE8" s="16"/>
      <c r="AF8" s="16"/>
      <c r="AG8" s="17"/>
      <c r="AH8" s="18"/>
      <c r="AI8" s="18"/>
      <c r="AJ8" s="18"/>
      <c r="AK8" s="16"/>
      <c r="AL8" s="16"/>
      <c r="AM8" s="16"/>
      <c r="AN8" s="16"/>
      <c r="AO8" s="16"/>
    </row>
    <row r="9" spans="1:62" s="3" customFormat="1" ht="13.5" thickBot="1" x14ac:dyDescent="0.25">
      <c r="A9" s="64" t="s">
        <v>12</v>
      </c>
      <c r="B9" s="57"/>
      <c r="C9" s="57"/>
      <c r="D9" s="65">
        <v>3.5000000000000003E-2</v>
      </c>
      <c r="E9" s="18"/>
      <c r="F9" s="18"/>
      <c r="G9" s="16"/>
      <c r="H9" s="16"/>
      <c r="I9" s="18"/>
      <c r="J9" s="16"/>
      <c r="K9" s="16"/>
      <c r="L9" s="16"/>
      <c r="M9" s="66"/>
      <c r="N9" s="66"/>
      <c r="O9" s="67"/>
      <c r="P9" s="67"/>
      <c r="Q9" s="67"/>
      <c r="R9" s="67"/>
      <c r="S9" s="16"/>
      <c r="T9" s="74"/>
      <c r="U9" s="16"/>
      <c r="V9" s="16"/>
      <c r="W9" s="67"/>
      <c r="X9" s="74"/>
      <c r="Y9" s="67"/>
      <c r="Z9" s="67"/>
      <c r="AA9" s="74"/>
      <c r="AB9" s="74"/>
      <c r="AC9" s="74"/>
      <c r="AD9" s="67"/>
      <c r="AE9" s="16"/>
      <c r="AF9" s="16"/>
      <c r="AG9" s="16"/>
      <c r="AH9" s="18"/>
      <c r="AI9" s="18"/>
      <c r="AJ9" s="18"/>
      <c r="AK9" s="16"/>
      <c r="AL9" s="16"/>
      <c r="AM9" s="16"/>
      <c r="AN9" s="16"/>
      <c r="AO9" s="16"/>
    </row>
    <row r="10" spans="1:62" s="3" customFormat="1" ht="12.75" x14ac:dyDescent="0.2">
      <c r="A10" s="4"/>
      <c r="B10" s="2"/>
      <c r="C10" s="96" t="s">
        <v>36</v>
      </c>
      <c r="D10" s="642" t="str">
        <f>'Construction Costs_2022'!B11</f>
        <v xml:space="preserve">1 Short Groyne </v>
      </c>
      <c r="E10" s="642"/>
      <c r="F10" s="77"/>
      <c r="G10" s="21" t="s">
        <v>13</v>
      </c>
      <c r="H10" s="22" t="s">
        <v>14</v>
      </c>
      <c r="I10" s="22" t="s">
        <v>14</v>
      </c>
      <c r="J10" s="22" t="s">
        <v>14</v>
      </c>
      <c r="K10" s="22" t="s">
        <v>14</v>
      </c>
      <c r="L10" s="23" t="s">
        <v>14</v>
      </c>
      <c r="M10" s="95" t="s">
        <v>34</v>
      </c>
      <c r="N10" s="677" t="str">
        <f>'Construction Costs_2022'!B32</f>
        <v>2 Short Groynes</v>
      </c>
      <c r="O10" s="677"/>
      <c r="P10" s="77"/>
      <c r="Q10" s="21" t="s">
        <v>13</v>
      </c>
      <c r="R10" s="22" t="s">
        <v>14</v>
      </c>
      <c r="S10" s="22" t="s">
        <v>14</v>
      </c>
      <c r="T10" s="22" t="s">
        <v>14</v>
      </c>
      <c r="U10" s="22" t="s">
        <v>14</v>
      </c>
      <c r="V10" s="23" t="s">
        <v>14</v>
      </c>
      <c r="W10" s="96" t="s">
        <v>35</v>
      </c>
      <c r="X10" s="677" t="str">
        <f>'Construction Costs_2022'!B53</f>
        <v>1 Long Groyne</v>
      </c>
      <c r="Y10" s="677"/>
      <c r="Z10" s="77"/>
      <c r="AA10" s="21" t="s">
        <v>13</v>
      </c>
      <c r="AB10" s="22" t="s">
        <v>14</v>
      </c>
      <c r="AC10" s="22" t="s">
        <v>14</v>
      </c>
      <c r="AD10" s="22" t="s">
        <v>14</v>
      </c>
      <c r="AE10" s="22" t="s">
        <v>14</v>
      </c>
      <c r="AF10" s="23" t="s">
        <v>14</v>
      </c>
      <c r="AG10" s="96" t="s">
        <v>37</v>
      </c>
      <c r="AH10" s="677" t="str">
        <f>'Construction Costs_2022'!B73</f>
        <v>1 Long &amp; 1 Short Groynes</v>
      </c>
      <c r="AI10" s="677"/>
      <c r="AJ10" s="77"/>
      <c r="AK10" s="21" t="s">
        <v>13</v>
      </c>
      <c r="AL10" s="22" t="s">
        <v>14</v>
      </c>
      <c r="AM10" s="22" t="s">
        <v>14</v>
      </c>
      <c r="AN10" s="22" t="s">
        <v>14</v>
      </c>
      <c r="AO10" s="22" t="s">
        <v>14</v>
      </c>
      <c r="AP10" s="23" t="s">
        <v>14</v>
      </c>
      <c r="AQ10" s="96" t="s">
        <v>38</v>
      </c>
      <c r="AR10" s="677" t="str">
        <f>'Construction Costs_2022'!B93</f>
        <v>2 Long  Groynes</v>
      </c>
      <c r="AS10" s="677"/>
      <c r="AT10" s="77"/>
      <c r="AU10" s="21" t="s">
        <v>13</v>
      </c>
      <c r="AV10" s="22" t="s">
        <v>14</v>
      </c>
      <c r="AW10" s="22" t="s">
        <v>14</v>
      </c>
      <c r="AX10" s="22" t="s">
        <v>14</v>
      </c>
      <c r="AY10" s="22" t="s">
        <v>14</v>
      </c>
      <c r="AZ10" s="23" t="s">
        <v>14</v>
      </c>
      <c r="BA10" s="96" t="s">
        <v>283</v>
      </c>
      <c r="BB10" s="677" t="str">
        <f>+'Construction Costs_2022'!B116</f>
        <v>One Offshore Breakwater</v>
      </c>
      <c r="BC10" s="677"/>
      <c r="BD10" s="77"/>
      <c r="BE10" s="21" t="s">
        <v>13</v>
      </c>
      <c r="BF10" s="22" t="s">
        <v>14</v>
      </c>
      <c r="BG10" s="22" t="s">
        <v>14</v>
      </c>
      <c r="BH10" s="22" t="s">
        <v>14</v>
      </c>
      <c r="BI10" s="22" t="s">
        <v>14</v>
      </c>
      <c r="BJ10" s="23" t="s">
        <v>14</v>
      </c>
    </row>
    <row r="11" spans="1:62" s="3" customFormat="1" ht="12.75" x14ac:dyDescent="0.2">
      <c r="A11" s="4"/>
      <c r="B11" s="2"/>
      <c r="C11" s="247"/>
      <c r="D11" s="248"/>
      <c r="E11" s="248" t="s">
        <v>117</v>
      </c>
      <c r="F11" s="79" t="s">
        <v>118</v>
      </c>
      <c r="G11" s="75"/>
      <c r="H11" s="54"/>
      <c r="I11" s="54"/>
      <c r="J11" s="54"/>
      <c r="K11" s="54"/>
      <c r="L11" s="76"/>
      <c r="M11" s="249"/>
      <c r="N11" s="248"/>
      <c r="O11" s="248"/>
      <c r="P11" s="79"/>
      <c r="Q11" s="75"/>
      <c r="R11" s="54"/>
      <c r="S11" s="54"/>
      <c r="T11" s="54"/>
      <c r="U11" s="54"/>
      <c r="V11" s="76"/>
      <c r="W11" s="247"/>
      <c r="X11" s="248"/>
      <c r="Y11" s="248"/>
      <c r="Z11" s="79"/>
      <c r="AA11" s="75"/>
      <c r="AB11" s="54"/>
      <c r="AC11" s="54"/>
      <c r="AD11" s="54"/>
      <c r="AE11" s="54"/>
      <c r="AF11" s="76"/>
      <c r="AG11" s="247"/>
      <c r="AH11" s="248"/>
      <c r="AI11" s="248"/>
      <c r="AJ11" s="79"/>
      <c r="AK11" s="75"/>
      <c r="AL11" s="54"/>
      <c r="AM11" s="54"/>
      <c r="AN11" s="54"/>
      <c r="AO11" s="54"/>
      <c r="AP11" s="76"/>
      <c r="AQ11" s="247"/>
      <c r="AR11" s="248"/>
      <c r="AS11" s="248"/>
      <c r="AT11" s="79"/>
      <c r="AU11" s="75"/>
      <c r="AV11" s="54"/>
      <c r="AW11" s="54"/>
      <c r="AX11" s="54"/>
      <c r="AY11" s="54"/>
      <c r="AZ11" s="76"/>
      <c r="BA11" s="247"/>
      <c r="BB11" s="248"/>
      <c r="BC11" s="248"/>
      <c r="BD11" s="79"/>
      <c r="BE11" s="75"/>
      <c r="BF11" s="54"/>
      <c r="BG11" s="54"/>
      <c r="BH11" s="54"/>
      <c r="BI11" s="54"/>
      <c r="BJ11" s="76"/>
    </row>
    <row r="12" spans="1:62" s="3" customFormat="1" ht="12.75" x14ac:dyDescent="0.2">
      <c r="A12" s="4"/>
      <c r="B12" s="2"/>
      <c r="C12" s="78"/>
      <c r="D12" s="80"/>
      <c r="E12" s="89"/>
      <c r="F12" s="79"/>
      <c r="G12" s="75"/>
      <c r="H12" s="54"/>
      <c r="I12" s="54"/>
      <c r="J12" s="54"/>
      <c r="K12" s="54"/>
      <c r="L12" s="76"/>
      <c r="M12" s="90"/>
      <c r="N12" s="80"/>
      <c r="O12" s="81"/>
      <c r="P12" s="79"/>
      <c r="Q12" s="75"/>
      <c r="R12" s="54"/>
      <c r="S12" s="54"/>
      <c r="T12" s="54"/>
      <c r="U12" s="54"/>
      <c r="V12" s="76"/>
      <c r="W12" s="78"/>
      <c r="X12" s="80"/>
      <c r="Y12" s="81"/>
      <c r="Z12" s="79"/>
      <c r="AA12" s="75"/>
      <c r="AB12" s="54"/>
      <c r="AC12" s="54"/>
      <c r="AD12" s="54"/>
      <c r="AE12" s="54"/>
      <c r="AF12" s="76"/>
      <c r="AG12" s="78"/>
      <c r="AH12" s="80"/>
      <c r="AI12" s="81"/>
      <c r="AJ12" s="79"/>
      <c r="AK12" s="75"/>
      <c r="AL12" s="54"/>
      <c r="AM12" s="54"/>
      <c r="AN12" s="54"/>
      <c r="AO12" s="54"/>
      <c r="AP12" s="76"/>
      <c r="AQ12" s="78"/>
      <c r="AR12" s="80" t="s">
        <v>124</v>
      </c>
      <c r="AS12" s="89">
        <f>'Construction Costs_2022'!F105</f>
        <v>0</v>
      </c>
      <c r="AT12" s="79">
        <f>'Construction Costs_2022'!J105</f>
        <v>0</v>
      </c>
      <c r="AU12" s="75"/>
      <c r="AV12" s="54"/>
      <c r="AW12" s="54"/>
      <c r="AX12" s="54"/>
      <c r="AY12" s="54"/>
      <c r="AZ12" s="76"/>
      <c r="BA12" s="78"/>
      <c r="BB12" s="80"/>
      <c r="BC12" s="89"/>
      <c r="BD12" s="79"/>
      <c r="BE12" s="75"/>
      <c r="BF12" s="54"/>
      <c r="BG12" s="54"/>
      <c r="BH12" s="54"/>
      <c r="BI12" s="54"/>
      <c r="BJ12" s="76"/>
    </row>
    <row r="13" spans="1:62" s="3" customFormat="1" ht="12.75" x14ac:dyDescent="0.2">
      <c r="A13" s="4"/>
      <c r="B13" s="2"/>
      <c r="C13" s="78"/>
      <c r="D13" s="80" t="s">
        <v>119</v>
      </c>
      <c r="E13" s="89">
        <f>'Construction Costs_2022'!F24</f>
        <v>10</v>
      </c>
      <c r="F13" s="79">
        <f>'Construction Costs_2022'!J24</f>
        <v>28000</v>
      </c>
      <c r="G13" s="75"/>
      <c r="H13" s="54"/>
      <c r="I13" s="54"/>
      <c r="J13" s="54"/>
      <c r="K13" s="54"/>
      <c r="L13" s="76"/>
      <c r="M13" s="90"/>
      <c r="N13" s="80" t="s">
        <v>119</v>
      </c>
      <c r="O13" s="81">
        <f>'Construction Costs_2022'!F45</f>
        <v>10</v>
      </c>
      <c r="P13" s="79">
        <f>'Construction Costs_2022'!J45</f>
        <v>28000</v>
      </c>
      <c r="Q13" s="75"/>
      <c r="R13" s="54"/>
      <c r="S13" s="54"/>
      <c r="T13" s="54"/>
      <c r="U13" s="54"/>
      <c r="V13" s="76"/>
      <c r="W13" s="78"/>
      <c r="X13" s="80" t="s">
        <v>119</v>
      </c>
      <c r="Y13" s="81">
        <f>'Construction Costs_2022'!F66</f>
        <v>10</v>
      </c>
      <c r="Z13" s="79">
        <f>'Construction Costs_2022'!J66</f>
        <v>28000</v>
      </c>
      <c r="AA13" s="75"/>
      <c r="AB13" s="54"/>
      <c r="AC13" s="54"/>
      <c r="AD13" s="54"/>
      <c r="AE13" s="54"/>
      <c r="AF13" s="76"/>
      <c r="AG13" s="78"/>
      <c r="AH13" s="80" t="s">
        <v>119</v>
      </c>
      <c r="AI13" s="81">
        <f>'Construction Costs_2022'!F86</f>
        <v>10</v>
      </c>
      <c r="AJ13" s="79">
        <f>'Construction Costs_2022'!J86</f>
        <v>28000</v>
      </c>
      <c r="AK13" s="75"/>
      <c r="AL13" s="54"/>
      <c r="AM13" s="54"/>
      <c r="AN13" s="54"/>
      <c r="AO13" s="54"/>
      <c r="AP13" s="76"/>
      <c r="AQ13" s="78"/>
      <c r="AR13" s="80" t="s">
        <v>119</v>
      </c>
      <c r="AS13" s="89">
        <f>'Construction Costs_2022'!F106</f>
        <v>10</v>
      </c>
      <c r="AT13" s="79">
        <f>'Construction Costs_2022'!J106</f>
        <v>28000</v>
      </c>
      <c r="AU13" s="75"/>
      <c r="AV13" s="54"/>
      <c r="AW13" s="54"/>
      <c r="AX13" s="54"/>
      <c r="AY13" s="54"/>
      <c r="AZ13" s="76"/>
      <c r="BA13" s="78"/>
      <c r="BB13" s="80" t="s">
        <v>119</v>
      </c>
      <c r="BC13" s="89">
        <f>'Construction Costs_2022'!F130</f>
        <v>10</v>
      </c>
      <c r="BD13" s="79">
        <f>'Construction Costs_2022'!J130</f>
        <v>28000</v>
      </c>
      <c r="BE13" s="75"/>
      <c r="BF13" s="54"/>
      <c r="BG13" s="54"/>
      <c r="BH13" s="54"/>
      <c r="BI13" s="54"/>
      <c r="BJ13" s="76"/>
    </row>
    <row r="14" spans="1:62" s="3" customFormat="1" ht="12.75" x14ac:dyDescent="0.2">
      <c r="A14" s="4"/>
      <c r="B14" s="2"/>
      <c r="C14" s="78"/>
      <c r="D14" s="80" t="str">
        <f>+'Construction Costs_2022'!E25</f>
        <v>Replacement to demountable defences</v>
      </c>
      <c r="E14" s="575">
        <f>+'Construction Costs_2022'!F25</f>
        <v>50</v>
      </c>
      <c r="F14" s="79">
        <f>'Construction Costs_2022'!J25</f>
        <v>27000</v>
      </c>
      <c r="G14" s="75"/>
      <c r="H14" s="54"/>
      <c r="I14" s="54"/>
      <c r="J14" s="54"/>
      <c r="K14" s="54"/>
      <c r="L14" s="76"/>
      <c r="M14" s="90"/>
      <c r="N14" s="80" t="str">
        <f>+'Construction Costs_2022'!E46</f>
        <v>Replacement to demountable defences</v>
      </c>
      <c r="O14" s="575">
        <f>+'Construction Costs_2022'!F46</f>
        <v>50</v>
      </c>
      <c r="P14" s="80">
        <f>+'Construction Costs_2022'!J46</f>
        <v>27000</v>
      </c>
      <c r="Q14" s="75"/>
      <c r="R14" s="54"/>
      <c r="S14" s="54"/>
      <c r="T14" s="54"/>
      <c r="U14" s="54"/>
      <c r="V14" s="76"/>
      <c r="W14" s="78"/>
      <c r="X14" s="80" t="str">
        <f>+'Construction Costs_2022'!E67</f>
        <v>Replacement to demountable defences</v>
      </c>
      <c r="Y14" s="575">
        <f>+'Construction Costs_2022'!F67</f>
        <v>50</v>
      </c>
      <c r="Z14" s="79">
        <f>'Construction Costs_2022'!J67</f>
        <v>27000</v>
      </c>
      <c r="AA14" s="75"/>
      <c r="AB14" s="54"/>
      <c r="AC14" s="54"/>
      <c r="AD14" s="54"/>
      <c r="AE14" s="54"/>
      <c r="AF14" s="76"/>
      <c r="AG14" s="78"/>
      <c r="AH14" s="80" t="str">
        <f>+'Construction Costs_2022'!E87</f>
        <v>Replacement to demountable defences</v>
      </c>
      <c r="AI14" s="81">
        <f>'Construction Costs_2022'!F87</f>
        <v>50</v>
      </c>
      <c r="AJ14" s="79">
        <f>'Construction Costs_2022'!J87</f>
        <v>27000</v>
      </c>
      <c r="AK14" s="75"/>
      <c r="AL14" s="54"/>
      <c r="AM14" s="54"/>
      <c r="AN14" s="54"/>
      <c r="AO14" s="54"/>
      <c r="AP14" s="76"/>
      <c r="AQ14" s="78"/>
      <c r="AR14" s="80" t="str">
        <f>+'Construction Costs_2022'!E107</f>
        <v>Replacement to demountable defences</v>
      </c>
      <c r="AS14" s="89">
        <f>'Construction Costs_2022'!F107</f>
        <v>50</v>
      </c>
      <c r="AT14" s="79">
        <f>'Construction Costs_2022'!J107</f>
        <v>27000</v>
      </c>
      <c r="AU14" s="75"/>
      <c r="AV14" s="54"/>
      <c r="AW14" s="54"/>
      <c r="AX14" s="54"/>
      <c r="AY14" s="54"/>
      <c r="AZ14" s="76"/>
      <c r="BA14" s="78"/>
      <c r="BB14" s="80" t="str">
        <f>+'Construction Costs_2022'!E131</f>
        <v>Replacement to demountable defences</v>
      </c>
      <c r="BC14" s="89">
        <f>'Construction Costs_2022'!F131</f>
        <v>50</v>
      </c>
      <c r="BD14" s="79">
        <f>'Construction Costs_2022'!J131</f>
        <v>27000</v>
      </c>
      <c r="BE14" s="75"/>
      <c r="BF14" s="54"/>
      <c r="BG14" s="54"/>
      <c r="BH14" s="54"/>
      <c r="BI14" s="54"/>
      <c r="BJ14" s="76"/>
    </row>
    <row r="15" spans="1:62" s="3" customFormat="1" ht="12.75" x14ac:dyDescent="0.2">
      <c r="A15" s="4"/>
      <c r="B15" s="2"/>
      <c r="C15" s="78"/>
      <c r="D15" s="80" t="str">
        <f>+'Construction Costs_2022'!E26</f>
        <v>Maintenance to demountable defences</v>
      </c>
      <c r="E15" s="575">
        <f>+'Construction Costs_2022'!F26</f>
        <v>10</v>
      </c>
      <c r="F15" s="80">
        <f>+'Construction Costs_2022'!J26</f>
        <v>1000</v>
      </c>
      <c r="G15" s="75"/>
      <c r="H15" s="54"/>
      <c r="I15" s="54"/>
      <c r="J15" s="54"/>
      <c r="K15" s="54"/>
      <c r="L15" s="76"/>
      <c r="M15" s="90"/>
      <c r="N15" s="80" t="str">
        <f>+'Construction Costs_2022'!E47</f>
        <v>Maintenance to demountable defences</v>
      </c>
      <c r="O15" s="575">
        <f>+'Construction Costs_2022'!F47</f>
        <v>10</v>
      </c>
      <c r="P15" s="80">
        <f>+'Construction Costs_2022'!J47</f>
        <v>1000</v>
      </c>
      <c r="Q15" s="75"/>
      <c r="R15" s="54"/>
      <c r="S15" s="54"/>
      <c r="T15" s="54"/>
      <c r="U15" s="54"/>
      <c r="V15" s="76"/>
      <c r="W15" s="78"/>
      <c r="X15" s="80" t="str">
        <f>+'Construction Costs_2022'!E68</f>
        <v>Maintenance to demountable defences</v>
      </c>
      <c r="Y15" s="575">
        <f>+'Construction Costs_2022'!F68</f>
        <v>10</v>
      </c>
      <c r="Z15" s="79">
        <f>'Construction Costs_2022'!J68</f>
        <v>1000</v>
      </c>
      <c r="AA15" s="75"/>
      <c r="AB15" s="54"/>
      <c r="AC15" s="54"/>
      <c r="AD15" s="54"/>
      <c r="AE15" s="54"/>
      <c r="AF15" s="76"/>
      <c r="AG15" s="78"/>
      <c r="AH15" s="80" t="str">
        <f>+'Construction Costs_2022'!E88</f>
        <v>Maintenance to demountable defences</v>
      </c>
      <c r="AI15" s="81">
        <f>'Construction Costs_2022'!F88</f>
        <v>10</v>
      </c>
      <c r="AJ15" s="79">
        <f>'Construction Costs_2022'!J88</f>
        <v>1000</v>
      </c>
      <c r="AK15" s="75"/>
      <c r="AL15" s="54"/>
      <c r="AM15" s="54"/>
      <c r="AN15" s="54"/>
      <c r="AO15" s="54"/>
      <c r="AP15" s="76"/>
      <c r="AQ15" s="78"/>
      <c r="AR15" s="80" t="str">
        <f>+'Construction Costs_2022'!E108</f>
        <v>Maintenance to demountable defences</v>
      </c>
      <c r="AS15" s="89">
        <f>'Construction Costs_2022'!F108</f>
        <v>10</v>
      </c>
      <c r="AT15" s="79">
        <f>'Construction Costs_2022'!J108</f>
        <v>1000</v>
      </c>
      <c r="AU15" s="75"/>
      <c r="AV15" s="54"/>
      <c r="AW15" s="54"/>
      <c r="AX15" s="54"/>
      <c r="AY15" s="54"/>
      <c r="AZ15" s="76"/>
      <c r="BA15" s="78"/>
      <c r="BB15" s="80" t="str">
        <f>+'Construction Costs_2022'!E132</f>
        <v>Maintenance to demountable defences</v>
      </c>
      <c r="BC15" s="89">
        <f>'Construction Costs_2022'!F132</f>
        <v>10</v>
      </c>
      <c r="BD15" s="79">
        <f>'Construction Costs_2022'!J132</f>
        <v>1000</v>
      </c>
      <c r="BE15" s="75"/>
      <c r="BF15" s="54"/>
      <c r="BG15" s="54"/>
      <c r="BH15" s="54"/>
      <c r="BI15" s="54"/>
      <c r="BJ15" s="76"/>
    </row>
    <row r="16" spans="1:62" s="3" customFormat="1" ht="12.75" x14ac:dyDescent="0.2">
      <c r="A16" s="4"/>
      <c r="B16" s="2"/>
      <c r="C16" s="78"/>
      <c r="D16" s="80" t="s">
        <v>120</v>
      </c>
      <c r="E16" s="89">
        <f>'Construction Costs_2022'!F27</f>
        <v>10</v>
      </c>
      <c r="F16" s="79">
        <f>'Construction Costs_2022'!J27</f>
        <v>1033560</v>
      </c>
      <c r="G16" s="75"/>
      <c r="H16" s="54"/>
      <c r="I16" s="54"/>
      <c r="J16" s="54"/>
      <c r="K16" s="54"/>
      <c r="L16" s="76"/>
      <c r="M16" s="90"/>
      <c r="N16" s="80" t="s">
        <v>120</v>
      </c>
      <c r="O16" s="81">
        <f>'Construction Costs_2022'!F48</f>
        <v>10</v>
      </c>
      <c r="P16" s="79">
        <f>'Construction Costs_2022'!J48</f>
        <v>976140</v>
      </c>
      <c r="Q16" s="75"/>
      <c r="R16" s="54"/>
      <c r="S16" s="54"/>
      <c r="T16" s="54"/>
      <c r="U16" s="54"/>
      <c r="V16" s="76"/>
      <c r="W16" s="78"/>
      <c r="X16" s="80" t="s">
        <v>120</v>
      </c>
      <c r="Y16" s="81">
        <f>'Construction Costs_2022'!F69</f>
        <v>10</v>
      </c>
      <c r="Z16" s="79">
        <f>'Construction Costs_2022'!J69</f>
        <v>803880</v>
      </c>
      <c r="AA16" s="75"/>
      <c r="AB16" s="54"/>
      <c r="AC16" s="54"/>
      <c r="AD16" s="54"/>
      <c r="AE16" s="54"/>
      <c r="AF16" s="76"/>
      <c r="AG16" s="78"/>
      <c r="AH16" s="80" t="s">
        <v>120</v>
      </c>
      <c r="AI16" s="81">
        <f>'Construction Costs_2022'!F89</f>
        <v>10</v>
      </c>
      <c r="AJ16" s="79">
        <f>'Construction Costs_2022'!J89</f>
        <v>746460</v>
      </c>
      <c r="AK16" s="75"/>
      <c r="AL16" s="54"/>
      <c r="AM16" s="54"/>
      <c r="AN16" s="54"/>
      <c r="AO16" s="54"/>
      <c r="AP16" s="76"/>
      <c r="AQ16" s="78"/>
      <c r="AR16" s="80" t="s">
        <v>120</v>
      </c>
      <c r="AS16" s="89">
        <f>'Construction Costs_2022'!F109</f>
        <v>10</v>
      </c>
      <c r="AT16" s="79">
        <f>'Construction Costs_2022'!J109</f>
        <v>918720</v>
      </c>
      <c r="AU16" s="75"/>
      <c r="AV16" s="54"/>
      <c r="AW16" s="54"/>
      <c r="AX16" s="54"/>
      <c r="AY16" s="54"/>
      <c r="AZ16" s="76"/>
      <c r="BA16" s="78"/>
      <c r="BB16" s="80" t="s">
        <v>120</v>
      </c>
      <c r="BC16" s="89">
        <f>'Construction Costs_2022'!$F$133</f>
        <v>10</v>
      </c>
      <c r="BD16" s="79">
        <f>'Construction Costs_2022'!$J$133</f>
        <v>86130</v>
      </c>
      <c r="BE16" s="75"/>
      <c r="BF16" s="54"/>
      <c r="BG16" s="54"/>
      <c r="BH16" s="54"/>
      <c r="BI16" s="54"/>
      <c r="BJ16" s="76"/>
    </row>
    <row r="17" spans="1:62" s="3" customFormat="1" ht="12.75" x14ac:dyDescent="0.2">
      <c r="A17" s="4"/>
      <c r="B17" s="2"/>
      <c r="C17" s="78"/>
      <c r="D17" s="80" t="s">
        <v>121</v>
      </c>
      <c r="E17" s="89">
        <f>'Construction Costs_2022'!F28</f>
        <v>1</v>
      </c>
      <c r="F17" s="79">
        <f>'Construction Costs_2022'!J28</f>
        <v>28800</v>
      </c>
      <c r="G17" s="75"/>
      <c r="H17" s="54"/>
      <c r="I17" s="54"/>
      <c r="J17" s="54"/>
      <c r="K17" s="54"/>
      <c r="L17" s="76"/>
      <c r="M17" s="90"/>
      <c r="N17" s="80" t="s">
        <v>121</v>
      </c>
      <c r="O17" s="81">
        <f>'Construction Costs_2022'!F49</f>
        <v>1</v>
      </c>
      <c r="P17" s="79">
        <f>'Construction Costs_2022'!J49</f>
        <v>43200</v>
      </c>
      <c r="Q17" s="75"/>
      <c r="R17" s="54"/>
      <c r="S17" s="54"/>
      <c r="T17" s="54"/>
      <c r="U17" s="54"/>
      <c r="V17" s="76"/>
      <c r="W17" s="78"/>
      <c r="X17" s="80" t="s">
        <v>121</v>
      </c>
      <c r="Y17" s="81">
        <f>'Construction Costs_2022'!F70</f>
        <v>5</v>
      </c>
      <c r="Z17" s="79">
        <f>'Construction Costs_2022'!J70</f>
        <v>86400</v>
      </c>
      <c r="AA17" s="75"/>
      <c r="AB17" s="54"/>
      <c r="AC17" s="54"/>
      <c r="AD17" s="54"/>
      <c r="AE17" s="54"/>
      <c r="AF17" s="76"/>
      <c r="AG17" s="78"/>
      <c r="AH17" s="80" t="s">
        <v>121</v>
      </c>
      <c r="AI17" s="81">
        <f>'Construction Costs_2022'!F90</f>
        <v>5</v>
      </c>
      <c r="AJ17" s="79">
        <f>'Construction Costs_2022'!J90</f>
        <v>100800</v>
      </c>
      <c r="AK17" s="75"/>
      <c r="AL17" s="54"/>
      <c r="AM17" s="54"/>
      <c r="AN17" s="54"/>
      <c r="AO17" s="54"/>
      <c r="AP17" s="76"/>
      <c r="AQ17" s="78"/>
      <c r="AR17" s="80" t="s">
        <v>121</v>
      </c>
      <c r="AS17" s="89">
        <f>'Construction Costs_2022'!F110</f>
        <v>5</v>
      </c>
      <c r="AT17" s="79">
        <f>'Construction Costs_2022'!J110</f>
        <v>57600</v>
      </c>
      <c r="AU17" s="75"/>
      <c r="AV17" s="54"/>
      <c r="AW17" s="54"/>
      <c r="AX17" s="54"/>
      <c r="AY17" s="54"/>
      <c r="AZ17" s="76"/>
      <c r="BA17" s="78"/>
      <c r="BB17" s="80" t="s">
        <v>121</v>
      </c>
      <c r="BC17" s="89">
        <f>'Construction Costs_2022'!$F$134</f>
        <v>5</v>
      </c>
      <c r="BD17" s="79">
        <f>'Construction Costs_2022'!$J$134</f>
        <v>86400</v>
      </c>
      <c r="BE17" s="75"/>
      <c r="BF17" s="54"/>
      <c r="BG17" s="54"/>
      <c r="BH17" s="54"/>
      <c r="BI17" s="54"/>
      <c r="BJ17" s="76"/>
    </row>
    <row r="18" spans="1:62" s="3" customFormat="1" ht="12.75" x14ac:dyDescent="0.2">
      <c r="A18" s="4"/>
      <c r="B18" s="2"/>
      <c r="C18" s="78"/>
      <c r="D18" s="80" t="s">
        <v>122</v>
      </c>
      <c r="E18" s="89">
        <f>'Construction Costs_2022'!F29</f>
        <v>10</v>
      </c>
      <c r="F18" s="79">
        <f>'Construction Costs_2022'!J29</f>
        <v>210540</v>
      </c>
      <c r="G18" s="75"/>
      <c r="H18" s="54"/>
      <c r="I18" s="54"/>
      <c r="J18" s="54"/>
      <c r="K18" s="54"/>
      <c r="L18" s="76"/>
      <c r="M18" s="90"/>
      <c r="N18" s="80" t="s">
        <v>122</v>
      </c>
      <c r="O18" s="81">
        <f>'Construction Costs_2022'!F50</f>
        <v>10</v>
      </c>
      <c r="P18" s="79">
        <f>'Construction Costs_2022'!J50</f>
        <v>159500</v>
      </c>
      <c r="Q18" s="75"/>
      <c r="R18" s="54"/>
      <c r="S18" s="54"/>
      <c r="T18" s="54"/>
      <c r="U18" s="54"/>
      <c r="V18" s="76"/>
      <c r="W18" s="78"/>
      <c r="X18" s="80" t="s">
        <v>122</v>
      </c>
      <c r="Y18" s="81">
        <v>100</v>
      </c>
      <c r="Z18" s="79">
        <v>0</v>
      </c>
      <c r="AA18" s="75"/>
      <c r="AB18" s="54"/>
      <c r="AC18" s="54"/>
      <c r="AD18" s="54"/>
      <c r="AE18" s="54"/>
      <c r="AF18" s="76"/>
      <c r="AG18" s="78"/>
      <c r="AH18" s="80" t="s">
        <v>122</v>
      </c>
      <c r="AI18" s="81">
        <v>100</v>
      </c>
      <c r="AJ18" s="79">
        <v>0</v>
      </c>
      <c r="AK18" s="75"/>
      <c r="AL18" s="54"/>
      <c r="AM18" s="54"/>
      <c r="AN18" s="54"/>
      <c r="AO18" s="54"/>
      <c r="AP18" s="76"/>
      <c r="AQ18" s="78"/>
      <c r="AR18" s="80" t="s">
        <v>122</v>
      </c>
      <c r="AS18" s="89">
        <v>100</v>
      </c>
      <c r="AT18" s="79">
        <v>0</v>
      </c>
      <c r="AU18" s="75"/>
      <c r="AV18" s="54"/>
      <c r="AW18" s="54"/>
      <c r="AX18" s="54"/>
      <c r="AY18" s="54"/>
      <c r="AZ18" s="76"/>
      <c r="BA18" s="78"/>
      <c r="BB18" s="80" t="s">
        <v>122</v>
      </c>
      <c r="BC18" s="89">
        <v>100</v>
      </c>
      <c r="BD18" s="79">
        <v>0</v>
      </c>
      <c r="BE18" s="75"/>
      <c r="BF18" s="54"/>
      <c r="BG18" s="54"/>
      <c r="BH18" s="54"/>
      <c r="BI18" s="54"/>
      <c r="BJ18" s="76"/>
    </row>
    <row r="19" spans="1:62" s="3" customFormat="1" ht="12.75" x14ac:dyDescent="0.2">
      <c r="A19" s="4"/>
      <c r="B19" s="2"/>
      <c r="C19" s="78"/>
      <c r="D19" s="80" t="s">
        <v>123</v>
      </c>
      <c r="E19" s="89">
        <f>'Construction Costs_2022'!F30</f>
        <v>30</v>
      </c>
      <c r="F19" s="79">
        <f>'Construction Costs_2022'!J30</f>
        <v>100000</v>
      </c>
      <c r="G19" s="75"/>
      <c r="H19" s="54"/>
      <c r="I19" s="54"/>
      <c r="J19" s="54"/>
      <c r="K19" s="54"/>
      <c r="L19" s="76"/>
      <c r="M19" s="90"/>
      <c r="N19" s="80" t="s">
        <v>123</v>
      </c>
      <c r="O19" s="81">
        <f>'Construction Costs_2022'!F51</f>
        <v>30</v>
      </c>
      <c r="P19" s="79">
        <f>'Construction Costs_2022'!J51</f>
        <v>100000</v>
      </c>
      <c r="Q19" s="75"/>
      <c r="R19" s="54"/>
      <c r="S19" s="54"/>
      <c r="T19" s="54"/>
      <c r="U19" s="54"/>
      <c r="V19" s="76"/>
      <c r="W19" s="78"/>
      <c r="X19" s="80" t="s">
        <v>123</v>
      </c>
      <c r="Y19" s="81">
        <f>'Construction Costs_2022'!F71</f>
        <v>30</v>
      </c>
      <c r="Z19" s="79">
        <f>'Construction Costs_2022'!J71</f>
        <v>100000</v>
      </c>
      <c r="AA19" s="75"/>
      <c r="AB19" s="54"/>
      <c r="AC19" s="54"/>
      <c r="AD19" s="54"/>
      <c r="AE19" s="54"/>
      <c r="AF19" s="76"/>
      <c r="AG19" s="78"/>
      <c r="AH19" s="80" t="s">
        <v>123</v>
      </c>
      <c r="AI19" s="81">
        <f>'Construction Costs_2022'!F91</f>
        <v>30</v>
      </c>
      <c r="AJ19" s="79">
        <f>'Construction Costs_2022'!J91</f>
        <v>100000</v>
      </c>
      <c r="AK19" s="75"/>
      <c r="AL19" s="54"/>
      <c r="AM19" s="54"/>
      <c r="AN19" s="54"/>
      <c r="AO19" s="54"/>
      <c r="AP19" s="76"/>
      <c r="AQ19" s="78"/>
      <c r="AR19" s="80" t="s">
        <v>123</v>
      </c>
      <c r="AS19" s="89">
        <f>'Construction Costs_2022'!F111</f>
        <v>30</v>
      </c>
      <c r="AT19" s="79">
        <f>'Construction Costs_2022'!J111</f>
        <v>100000</v>
      </c>
      <c r="AU19" s="75"/>
      <c r="AV19" s="54"/>
      <c r="AW19" s="54"/>
      <c r="AX19" s="54"/>
      <c r="AY19" s="54"/>
      <c r="AZ19" s="76"/>
      <c r="BA19" s="78"/>
      <c r="BB19" s="80" t="s">
        <v>123</v>
      </c>
      <c r="BC19" s="89">
        <f>'Construction Costs_2022'!$F$135</f>
        <v>30</v>
      </c>
      <c r="BD19" s="79">
        <f>'Construction Costs_2022'!$J$135</f>
        <v>100000</v>
      </c>
      <c r="BE19" s="75"/>
      <c r="BF19" s="54"/>
      <c r="BG19" s="54"/>
      <c r="BH19" s="54"/>
      <c r="BI19" s="54"/>
      <c r="BJ19" s="76"/>
    </row>
    <row r="20" spans="1:62" s="3" customFormat="1" ht="12.75" x14ac:dyDescent="0.2">
      <c r="A20" s="4"/>
      <c r="B20" s="2"/>
      <c r="C20" s="78"/>
      <c r="D20" s="80" t="s">
        <v>31</v>
      </c>
      <c r="E20" s="81">
        <v>2</v>
      </c>
      <c r="F20" s="79"/>
      <c r="G20" s="75"/>
      <c r="H20" s="54"/>
      <c r="I20" s="54"/>
      <c r="J20" s="54"/>
      <c r="K20" s="54"/>
      <c r="L20" s="76"/>
      <c r="M20" s="90"/>
      <c r="N20" s="80" t="s">
        <v>31</v>
      </c>
      <c r="O20" s="81">
        <v>2</v>
      </c>
      <c r="P20" s="79"/>
      <c r="Q20" s="75"/>
      <c r="R20" s="54"/>
      <c r="S20" s="54"/>
      <c r="T20" s="54"/>
      <c r="U20" s="54"/>
      <c r="V20" s="76"/>
      <c r="W20" s="78"/>
      <c r="X20" s="80" t="s">
        <v>31</v>
      </c>
      <c r="Y20" s="81">
        <v>2</v>
      </c>
      <c r="Z20" s="79"/>
      <c r="AA20" s="75"/>
      <c r="AB20" s="54"/>
      <c r="AC20" s="54"/>
      <c r="AD20" s="54"/>
      <c r="AE20" s="54"/>
      <c r="AF20" s="76"/>
      <c r="AG20" s="78"/>
      <c r="AH20" s="80" t="s">
        <v>31</v>
      </c>
      <c r="AI20" s="81">
        <v>2</v>
      </c>
      <c r="AJ20" s="79"/>
      <c r="AK20" s="75"/>
      <c r="AL20" s="54"/>
      <c r="AM20" s="54"/>
      <c r="AN20" s="54"/>
      <c r="AO20" s="54"/>
      <c r="AP20" s="76"/>
      <c r="AQ20" s="78"/>
      <c r="AR20" s="80" t="s">
        <v>31</v>
      </c>
      <c r="AS20" s="81">
        <v>2</v>
      </c>
      <c r="AT20" s="79"/>
      <c r="AU20" s="75"/>
      <c r="AV20" s="54"/>
      <c r="AW20" s="54"/>
      <c r="AX20" s="54"/>
      <c r="AY20" s="54"/>
      <c r="AZ20" s="76"/>
      <c r="BA20" s="78"/>
      <c r="BB20" s="80" t="s">
        <v>31</v>
      </c>
      <c r="BC20" s="81">
        <v>2</v>
      </c>
      <c r="BD20" s="79"/>
      <c r="BE20" s="75"/>
      <c r="BF20" s="54"/>
      <c r="BG20" s="54"/>
      <c r="BH20" s="54"/>
      <c r="BI20" s="54"/>
      <c r="BJ20" s="76"/>
    </row>
    <row r="21" spans="1:62" s="3" customFormat="1" ht="39" thickBot="1" x14ac:dyDescent="0.25">
      <c r="A21" s="4"/>
      <c r="B21" s="5"/>
      <c r="C21" s="24" t="s">
        <v>15</v>
      </c>
      <c r="D21" s="25" t="s">
        <v>16</v>
      </c>
      <c r="E21" s="25" t="s">
        <v>17</v>
      </c>
      <c r="F21" s="26" t="s">
        <v>18</v>
      </c>
      <c r="G21" s="24" t="s">
        <v>19</v>
      </c>
      <c r="H21" s="25" t="s">
        <v>15</v>
      </c>
      <c r="I21" s="25" t="s">
        <v>20</v>
      </c>
      <c r="J21" s="25" t="s">
        <v>17</v>
      </c>
      <c r="K21" s="26" t="s">
        <v>18</v>
      </c>
      <c r="L21" s="27" t="s">
        <v>32</v>
      </c>
      <c r="M21" s="25" t="s">
        <v>15</v>
      </c>
      <c r="N21" s="25" t="s">
        <v>16</v>
      </c>
      <c r="O21" s="25" t="s">
        <v>17</v>
      </c>
      <c r="P21" s="26" t="s">
        <v>18</v>
      </c>
      <c r="Q21" s="24" t="s">
        <v>19</v>
      </c>
      <c r="R21" s="25" t="s">
        <v>15</v>
      </c>
      <c r="S21" s="25" t="s">
        <v>20</v>
      </c>
      <c r="T21" s="25" t="s">
        <v>17</v>
      </c>
      <c r="U21" s="26" t="s">
        <v>18</v>
      </c>
      <c r="V21" s="27" t="s">
        <v>32</v>
      </c>
      <c r="W21" s="24" t="s">
        <v>15</v>
      </c>
      <c r="X21" s="25" t="s">
        <v>16</v>
      </c>
      <c r="Y21" s="25" t="s">
        <v>17</v>
      </c>
      <c r="Z21" s="26" t="s">
        <v>18</v>
      </c>
      <c r="AA21" s="24" t="s">
        <v>19</v>
      </c>
      <c r="AB21" s="25" t="s">
        <v>15</v>
      </c>
      <c r="AC21" s="25" t="s">
        <v>20</v>
      </c>
      <c r="AD21" s="25" t="s">
        <v>17</v>
      </c>
      <c r="AE21" s="26" t="s">
        <v>18</v>
      </c>
      <c r="AF21" s="27" t="s">
        <v>32</v>
      </c>
      <c r="AG21" s="24" t="s">
        <v>15</v>
      </c>
      <c r="AH21" s="25" t="s">
        <v>16</v>
      </c>
      <c r="AI21" s="25" t="s">
        <v>17</v>
      </c>
      <c r="AJ21" s="26" t="s">
        <v>18</v>
      </c>
      <c r="AK21" s="24" t="s">
        <v>19</v>
      </c>
      <c r="AL21" s="25" t="s">
        <v>15</v>
      </c>
      <c r="AM21" s="25" t="s">
        <v>20</v>
      </c>
      <c r="AN21" s="25" t="s">
        <v>17</v>
      </c>
      <c r="AO21" s="26" t="s">
        <v>18</v>
      </c>
      <c r="AP21" s="27" t="s">
        <v>32</v>
      </c>
      <c r="AQ21" s="24" t="s">
        <v>15</v>
      </c>
      <c r="AR21" s="25" t="s">
        <v>16</v>
      </c>
      <c r="AS21" s="25" t="s">
        <v>17</v>
      </c>
      <c r="AT21" s="26" t="s">
        <v>18</v>
      </c>
      <c r="AU21" s="24" t="s">
        <v>19</v>
      </c>
      <c r="AV21" s="25" t="s">
        <v>15</v>
      </c>
      <c r="AW21" s="25" t="s">
        <v>20</v>
      </c>
      <c r="AX21" s="25" t="s">
        <v>17</v>
      </c>
      <c r="AY21" s="26" t="s">
        <v>18</v>
      </c>
      <c r="AZ21" s="27" t="s">
        <v>32</v>
      </c>
      <c r="BA21" s="24" t="s">
        <v>15</v>
      </c>
      <c r="BB21" s="25" t="s">
        <v>16</v>
      </c>
      <c r="BC21" s="25" t="s">
        <v>17</v>
      </c>
      <c r="BD21" s="26" t="s">
        <v>18</v>
      </c>
      <c r="BE21" s="24" t="s">
        <v>19</v>
      </c>
      <c r="BF21" s="25" t="s">
        <v>15</v>
      </c>
      <c r="BG21" s="25" t="s">
        <v>20</v>
      </c>
      <c r="BH21" s="25" t="s">
        <v>17</v>
      </c>
      <c r="BI21" s="26" t="s">
        <v>18</v>
      </c>
      <c r="BJ21" s="27" t="s">
        <v>32</v>
      </c>
    </row>
    <row r="22" spans="1:62" s="3" customFormat="1" ht="13.5" thickBot="1" x14ac:dyDescent="0.25">
      <c r="A22" s="6"/>
      <c r="B22" s="7" t="s">
        <v>21</v>
      </c>
      <c r="C22" s="29">
        <f t="shared" ref="C22:N22" si="0">SUM(C25:C124)</f>
        <v>8257454.7049041586</v>
      </c>
      <c r="D22" s="29">
        <f>SUM(D25:D124)</f>
        <v>14578500</v>
      </c>
      <c r="E22" s="29">
        <f t="shared" si="0"/>
        <v>1364846.68</v>
      </c>
      <c r="F22" s="29">
        <f t="shared" si="0"/>
        <v>0</v>
      </c>
      <c r="G22" s="30">
        <f t="shared" si="0"/>
        <v>24200801.384904157</v>
      </c>
      <c r="H22" s="29">
        <f>SUM(H25:H124)</f>
        <v>7708422.3248189315</v>
      </c>
      <c r="I22" s="29">
        <f>SUM(I25:I124)</f>
        <v>3742840.0682210433</v>
      </c>
      <c r="J22" s="31">
        <f t="shared" si="0"/>
        <v>1309956.5346215782</v>
      </c>
      <c r="K22" s="31">
        <f t="shared" si="0"/>
        <v>0</v>
      </c>
      <c r="L22" s="94">
        <f>SUM(L25:L124)</f>
        <v>12761218.927661555</v>
      </c>
      <c r="M22" s="28">
        <f>SUM(M26:M124)</f>
        <v>8539893.595808316</v>
      </c>
      <c r="N22" s="29">
        <f t="shared" si="0"/>
        <v>14999160</v>
      </c>
      <c r="O22" s="29">
        <f>SUM(O25:O125)</f>
        <v>1364846.68</v>
      </c>
      <c r="P22" s="29">
        <f t="shared" ref="P22:X22" si="1">SUM(P25:P124)</f>
        <v>0</v>
      </c>
      <c r="Q22" s="30">
        <f t="shared" si="1"/>
        <v>24903900.275808316</v>
      </c>
      <c r="R22" s="29">
        <f t="shared" si="1"/>
        <v>7972082.0516775809</v>
      </c>
      <c r="S22" s="29">
        <f t="shared" si="1"/>
        <v>3882546.6836868483</v>
      </c>
      <c r="T22" s="31">
        <f t="shared" si="1"/>
        <v>1309956.5346215782</v>
      </c>
      <c r="U22" s="31">
        <f t="shared" si="1"/>
        <v>0</v>
      </c>
      <c r="V22" s="94">
        <f t="shared" si="1"/>
        <v>13164585.269986005</v>
      </c>
      <c r="W22" s="28">
        <f>SUM(W26:W124)</f>
        <v>9100371.9241785407</v>
      </c>
      <c r="X22" s="29">
        <f t="shared" si="1"/>
        <v>9464520</v>
      </c>
      <c r="Y22" s="29">
        <f>SUM(Y25:Y125)</f>
        <v>1364846.68</v>
      </c>
      <c r="Z22" s="29">
        <f t="shared" ref="Z22:AF22" si="2">SUM(Z25:Z124)</f>
        <v>0</v>
      </c>
      <c r="AA22" s="30">
        <f t="shared" si="2"/>
        <v>19929738.60417854</v>
      </c>
      <c r="AB22" s="29">
        <f t="shared" si="2"/>
        <v>8495294.5685346611</v>
      </c>
      <c r="AC22" s="29">
        <f t="shared" si="2"/>
        <v>2395779.4740257841</v>
      </c>
      <c r="AD22" s="31">
        <f t="shared" si="2"/>
        <v>1309956.5346215782</v>
      </c>
      <c r="AE22" s="31">
        <f t="shared" si="2"/>
        <v>0</v>
      </c>
      <c r="AF22" s="94">
        <f t="shared" si="2"/>
        <v>12201030.577182025</v>
      </c>
      <c r="AG22" s="28">
        <f>SUM(AG26:AG124)</f>
        <v>9382808.1510826983</v>
      </c>
      <c r="AH22" s="29">
        <f t="shared" ref="AH22:AP22" si="3">SUM(AH25:AH124)</f>
        <v>9221340</v>
      </c>
      <c r="AI22" s="29">
        <f t="shared" si="3"/>
        <v>1364846.68</v>
      </c>
      <c r="AJ22" s="29">
        <f t="shared" si="3"/>
        <v>0</v>
      </c>
      <c r="AK22" s="30">
        <f t="shared" si="3"/>
        <v>19968994.831082698</v>
      </c>
      <c r="AL22" s="29">
        <f t="shared" si="3"/>
        <v>8758951.8085208051</v>
      </c>
      <c r="AM22" s="29">
        <f t="shared" si="3"/>
        <v>2336897.8894499936</v>
      </c>
      <c r="AN22" s="31">
        <f t="shared" si="3"/>
        <v>1309956.5346215782</v>
      </c>
      <c r="AO22" s="31">
        <f t="shared" si="3"/>
        <v>0</v>
      </c>
      <c r="AP22" s="94">
        <f t="shared" si="3"/>
        <v>12405806.23259238</v>
      </c>
      <c r="AQ22" s="28">
        <f>SUM(AQ26:AQ124)</f>
        <v>10029350.370357079</v>
      </c>
      <c r="AR22" s="29">
        <f t="shared" ref="AR22:AZ22" si="4">SUM(AR25:AR124)</f>
        <v>9950880</v>
      </c>
      <c r="AS22" s="29">
        <f t="shared" si="4"/>
        <v>1364846.68</v>
      </c>
      <c r="AT22" s="29">
        <f t="shared" si="4"/>
        <v>0</v>
      </c>
      <c r="AU22" s="30">
        <f t="shared" si="4"/>
        <v>21345077.050357081</v>
      </c>
      <c r="AV22" s="29">
        <f t="shared" si="4"/>
        <v>9362505.888452081</v>
      </c>
      <c r="AW22" s="29">
        <f t="shared" si="4"/>
        <v>2513542.6431773663</v>
      </c>
      <c r="AX22" s="31">
        <f t="shared" si="4"/>
        <v>1309956.5346215782</v>
      </c>
      <c r="AY22" s="31">
        <f t="shared" si="4"/>
        <v>0</v>
      </c>
      <c r="AZ22" s="282">
        <f t="shared" si="4"/>
        <v>13186005.066251028</v>
      </c>
      <c r="BA22" s="28">
        <f>SUM(BA26:BA124)</f>
        <v>12108570.21417854</v>
      </c>
      <c r="BB22" s="29">
        <f>SUM(BB25:BB124)</f>
        <v>3004770</v>
      </c>
      <c r="BC22" s="29">
        <f t="shared" ref="BC22:BJ22" si="5">SUM(BC25:BC124)</f>
        <v>1414846.68</v>
      </c>
      <c r="BD22" s="29">
        <f t="shared" si="5"/>
        <v>0</v>
      </c>
      <c r="BE22" s="30">
        <f>SUM(BE25:BE124)</f>
        <v>16528186.89417854</v>
      </c>
      <c r="BF22" s="29">
        <f t="shared" si="5"/>
        <v>11303479.861073576</v>
      </c>
      <c r="BG22" s="29">
        <f>SUM(BG25:BG124)</f>
        <v>755672.15201554319</v>
      </c>
      <c r="BH22" s="31">
        <f t="shared" si="5"/>
        <v>1358265.7133655394</v>
      </c>
      <c r="BI22" s="31">
        <f t="shared" si="5"/>
        <v>0</v>
      </c>
      <c r="BJ22" s="94">
        <f t="shared" si="5"/>
        <v>13417417.726454658</v>
      </c>
    </row>
    <row r="23" spans="1:62" s="3" customFormat="1" ht="12.75" x14ac:dyDescent="0.2">
      <c r="A23" s="8"/>
      <c r="B23" s="9" t="s">
        <v>22</v>
      </c>
      <c r="C23" s="32"/>
      <c r="D23" s="33"/>
      <c r="E23" s="33"/>
      <c r="F23" s="33"/>
      <c r="G23" s="32"/>
      <c r="H23" s="33"/>
      <c r="I23" s="33"/>
      <c r="J23" s="33"/>
      <c r="K23" s="33"/>
      <c r="L23" s="34"/>
      <c r="M23" s="33"/>
      <c r="N23" s="33"/>
      <c r="O23" s="33"/>
      <c r="P23" s="33"/>
      <c r="Q23" s="32"/>
      <c r="R23" s="33"/>
      <c r="S23" s="33"/>
      <c r="T23" s="33"/>
      <c r="U23" s="33"/>
      <c r="V23" s="34"/>
      <c r="W23" s="33"/>
      <c r="X23" s="33"/>
      <c r="Y23" s="33"/>
      <c r="Z23" s="33"/>
      <c r="AA23" s="32"/>
      <c r="AB23" s="33"/>
      <c r="AC23" s="33"/>
      <c r="AD23" s="33"/>
      <c r="AE23" s="33"/>
      <c r="AF23" s="34"/>
      <c r="AG23" s="32"/>
      <c r="AH23" s="33"/>
      <c r="AI23" s="33"/>
      <c r="AJ23" s="33"/>
      <c r="AK23" s="32"/>
      <c r="AL23" s="33"/>
      <c r="AM23" s="33"/>
      <c r="AN23" s="33"/>
      <c r="AO23" s="33"/>
      <c r="AP23" s="34"/>
      <c r="AQ23" s="32"/>
      <c r="AR23" s="33"/>
      <c r="AS23" s="33"/>
      <c r="AT23" s="33"/>
      <c r="AU23" s="32"/>
      <c r="AV23" s="33"/>
      <c r="AW23" s="33"/>
      <c r="AX23" s="33"/>
      <c r="AY23" s="33"/>
      <c r="AZ23" s="34"/>
      <c r="BA23" s="32"/>
      <c r="BB23" s="33"/>
      <c r="BC23" s="33"/>
      <c r="BD23" s="33"/>
      <c r="BE23" s="32"/>
      <c r="BF23" s="33"/>
      <c r="BG23" s="33"/>
      <c r="BH23" s="33"/>
      <c r="BI23" s="33"/>
      <c r="BJ23" s="34"/>
    </row>
    <row r="24" spans="1:62" s="3" customFormat="1" ht="13.5" thickBot="1" x14ac:dyDescent="0.25">
      <c r="A24" s="10" t="s">
        <v>23</v>
      </c>
      <c r="B24" s="11" t="s">
        <v>24</v>
      </c>
      <c r="C24" s="35"/>
      <c r="D24" s="36"/>
      <c r="E24" s="36"/>
      <c r="F24" s="36"/>
      <c r="G24" s="35"/>
      <c r="H24" s="36"/>
      <c r="I24" s="36"/>
      <c r="J24" s="36"/>
      <c r="K24" s="36"/>
      <c r="L24" s="37"/>
      <c r="M24" s="36"/>
      <c r="N24" s="36"/>
      <c r="O24" s="36"/>
      <c r="P24" s="36"/>
      <c r="Q24" s="35"/>
      <c r="R24" s="36"/>
      <c r="S24" s="36"/>
      <c r="T24" s="36"/>
      <c r="U24" s="36"/>
      <c r="V24" s="37"/>
      <c r="W24" s="36"/>
      <c r="X24" s="36"/>
      <c r="Y24" s="36"/>
      <c r="Z24" s="36"/>
      <c r="AA24" s="35"/>
      <c r="AB24" s="36"/>
      <c r="AC24" s="36"/>
      <c r="AD24" s="36"/>
      <c r="AE24" s="36"/>
      <c r="AF24" s="37"/>
      <c r="AG24" s="35"/>
      <c r="AH24" s="36"/>
      <c r="AI24" s="36"/>
      <c r="AJ24" s="36"/>
      <c r="AK24" s="35"/>
      <c r="AL24" s="36"/>
      <c r="AM24" s="36"/>
      <c r="AN24" s="36"/>
      <c r="AO24" s="36"/>
      <c r="AP24" s="37"/>
      <c r="AQ24" s="35"/>
      <c r="AR24" s="36"/>
      <c r="AS24" s="36"/>
      <c r="AT24" s="36"/>
      <c r="AU24" s="35"/>
      <c r="AV24" s="36"/>
      <c r="AW24" s="36"/>
      <c r="AX24" s="36"/>
      <c r="AY24" s="36"/>
      <c r="AZ24" s="37"/>
      <c r="BA24" s="35"/>
      <c r="BB24" s="36"/>
      <c r="BC24" s="36"/>
      <c r="BD24" s="36"/>
      <c r="BE24" s="35"/>
      <c r="BF24" s="36"/>
      <c r="BG24" s="36"/>
      <c r="BH24" s="36"/>
      <c r="BI24" s="36"/>
      <c r="BJ24" s="37"/>
    </row>
    <row r="25" spans="1:62" s="3" customFormat="1" ht="12.75" x14ac:dyDescent="0.2">
      <c r="A25" s="12">
        <v>0</v>
      </c>
      <c r="B25" s="83">
        <f>1/((1+$D$9)^A25)</f>
        <v>1</v>
      </c>
      <c r="C25" s="82">
        <f>IF($A25=E$20,'Construction Costs_2022'!$K$22+'Construction Costs_2022'!$K$7,0)</f>
        <v>0</v>
      </c>
      <c r="D25" s="38">
        <f t="shared" ref="D25:D26" si="6">IF(C25&gt;0,0,SUM(IF(AND(MOD(($A25-E$20),E$13)=0,$A25&gt;=E$20),F$13,0)+IF(AND(MOD(($A25-E$20),E$14)=0,$A25&gt;=E$20),F$14,0)+IF(AND(MOD(($A25-E$20),E$15)=0,$A25&gt;=E$20),F$15,0)+IF(AND(MOD(($A25-E$20),E$16)=0,$A25&gt;=E$20),F$16,0)+IF(AND(MOD(($A25-E$20),E$17)=0,$A25&gt;=E$20),F$17,0)+IF(AND(MOD(($A25-E$20),E$18)=0,$A25&gt;=E$20),F$18,0)+IF(AND(MOD(($A25-E$20),E$19)=0,$A25&gt;=E$20),F$19,0)))</f>
        <v>0</v>
      </c>
      <c r="E25" s="38"/>
      <c r="F25" s="39"/>
      <c r="G25" s="40">
        <f t="shared" ref="G25:G56" si="7">SUM(C25:F25)</f>
        <v>0</v>
      </c>
      <c r="H25" s="41">
        <f t="shared" ref="H25:K56" si="8">C25*$B25</f>
        <v>0</v>
      </c>
      <c r="I25" s="42">
        <f>D25*$B25</f>
        <v>0</v>
      </c>
      <c r="J25" s="43">
        <f t="shared" si="8"/>
        <v>0</v>
      </c>
      <c r="K25" s="43">
        <f t="shared" si="8"/>
        <v>0</v>
      </c>
      <c r="L25" s="44">
        <f>SUM(H25:K25)</f>
        <v>0</v>
      </c>
      <c r="M25" s="91">
        <f>IF($A25=O$20,'Construction Costs_2022'!K43+'Construction Costs_2022'!K7,0)</f>
        <v>0</v>
      </c>
      <c r="N25" s="38">
        <f>IF(M25&gt;0,0,SUM(IF(AND(MOD(($A25-O$20),O$13)=0,$A25&gt;=O$20),P$13,0)+IF(AND(MOD(($A25-O$20),O$14)=0,$A25&gt;=O$20),P$14,0)+IF(AND(MOD(($A25-O$20),O$15)=0,$A25&gt;=O$20),P$15,0)+IF(AND(MOD(($A25-O$20),O$16)=0,$A25&gt;=O$20),P$16,0)+IF(AND(MOD(($A25-O$20),O$17)=0,$A25&gt;=O$20),P$17,0)+IF(AND(MOD(($A25-O$20),O$18)=0,$A25&gt;=O$20),P$18,0)+IF(AND(MOD(($A25-O$20),O$19)=0,$A25&gt;=O$20),P$19,0)))</f>
        <v>0</v>
      </c>
      <c r="O25" s="38"/>
      <c r="P25" s="39"/>
      <c r="Q25" s="40">
        <f>SUM(M25:P25)</f>
        <v>0</v>
      </c>
      <c r="R25" s="41">
        <f t="shared" ref="R25:T40" si="9">M25*$B25</f>
        <v>0</v>
      </c>
      <c r="S25" s="42">
        <f t="shared" si="9"/>
        <v>0</v>
      </c>
      <c r="T25" s="43">
        <f t="shared" si="9"/>
        <v>0</v>
      </c>
      <c r="U25" s="43">
        <f t="shared" ref="U25:U88" si="10">P25*$B25</f>
        <v>0</v>
      </c>
      <c r="V25" s="44">
        <f>SUM(R25:U25)</f>
        <v>0</v>
      </c>
      <c r="W25" s="82">
        <f>IF($A25=Y$20,'Construction Costs_2022'!$K$64+'Construction Costs_2022'!$K$7,0)</f>
        <v>0</v>
      </c>
      <c r="X25" s="38">
        <f>IF(W25&gt;0,0,SUM(IF(AND(MOD(($A25-Y$20),Y$13)=0,$A25&gt;=Y$20),Z$13,0)+IF(AND(MOD(($A25-Y$20),Y$14)=0,$A25&gt;=Y$20),Z$14,0)+IF(AND(MOD(($A25-Y$20),Y$15)=0,$A25&gt;=Y$20),Z$15,0)+IF(AND(MOD(($A25-Y$20),Y$16)=0,$A25&gt;=Y$20),Z$16,0)+IF(AND(MOD(($A25-Y$20),Y$17)=0,$A25&gt;=Y$20),Z$17,0)+IF(AND(MOD(($A25-Y$20),Y$18)=0,$A25&gt;=Y$20),Z$18,0)+IF(AND(MOD(($A25-Y$20),Y$19)=0,$A25&gt;=Y$20),Z$19,0)))</f>
        <v>0</v>
      </c>
      <c r="Y25" s="38"/>
      <c r="Z25" s="39"/>
      <c r="AA25" s="40">
        <f>SUM(W25:Z25)</f>
        <v>0</v>
      </c>
      <c r="AB25" s="41">
        <f t="shared" ref="AB25:AD40" si="11">W25*$B25</f>
        <v>0</v>
      </c>
      <c r="AC25" s="42">
        <f t="shared" si="11"/>
        <v>0</v>
      </c>
      <c r="AD25" s="43">
        <f t="shared" si="11"/>
        <v>0</v>
      </c>
      <c r="AE25" s="43">
        <f t="shared" ref="AE25:AE88" si="12">Z25*$B25</f>
        <v>0</v>
      </c>
      <c r="AF25" s="44">
        <f>SUM(AB25:AE25)</f>
        <v>0</v>
      </c>
      <c r="AG25" s="82">
        <f>IF($A25=AI$20,'Construction Costs_2022'!$K$84+'Construction Costs_2022'!$K$7,0)</f>
        <v>0</v>
      </c>
      <c r="AH25" s="38">
        <f>IF(AG25&gt;0,0,SUM(IF(AND(MOD(($A25-AI$20),AI$13)=0,$A25&gt;=AI$20),AJ$13,0)+IF(AND(MOD(($A25-AI$20),AI$14)=0,$A25&gt;=AI$20),AJ$14,0)+IF(AND(MOD(($A25-AI$20),AI$15)=0,$A25&gt;=AI$20),AJ$15,0)+IF(AND(MOD(($A25-AI$20),AI$16)=0,$A25&gt;=AI$20),AJ$16,0)+IF(AND(MOD(($A25-AI$20),AI$17)=0,$A25&gt;=AI$20),AJ$17,0)+IF(AND(MOD(($A25-AI$20),AI$18)=0,$A25&gt;=AI$20),AJ$18,0)+IF(AND(MOD(($A25-AI$20),AI$19)=0,$A25&gt;=AI$20),AJ$19,0)))</f>
        <v>0</v>
      </c>
      <c r="AI25" s="38"/>
      <c r="AJ25" s="39"/>
      <c r="AK25" s="40">
        <f t="shared" ref="AK25:AK26" si="13">SUM(AG25:AJ25)</f>
        <v>0</v>
      </c>
      <c r="AL25" s="41">
        <f t="shared" ref="AL25:AL88" si="14">AG25*$B25</f>
        <v>0</v>
      </c>
      <c r="AM25" s="42">
        <f t="shared" ref="AM25:AM88" si="15">AH25*$B25</f>
        <v>0</v>
      </c>
      <c r="AN25" s="43">
        <f t="shared" ref="AN25:AN88" si="16">AI25*$B25</f>
        <v>0</v>
      </c>
      <c r="AO25" s="43">
        <f t="shared" ref="AO25:AO88" si="17">AJ25*$B25</f>
        <v>0</v>
      </c>
      <c r="AP25" s="44">
        <f>SUM(AL25:AO25)</f>
        <v>0</v>
      </c>
      <c r="AQ25" s="82">
        <f>IF($A25=AS$20,'Construction Costs_2022'!$K$104+'Construction Costs_2022'!$K$7,0)</f>
        <v>0</v>
      </c>
      <c r="AR25" s="38">
        <f>IF(AQ25&gt;0,0,SUM(IF(AND(MOD(($A25-AS$20),AS$13)=0,$A25&gt;=AS$20),AT$13,0)+IF(AND(MOD(($A25-AS$20),AS$14)=0,$A25&gt;=AS$20),AT$14,0)+IF(AND(MOD(($A25-AS$20),AS$15)=0,$A25&gt;=AS$20),AT$15,0)+IF(AND(MOD(($A25-AS$20),AS$16)=0,$A25&gt;=AS$20),AT$16,0)+IF(AND(MOD(($A25-AS$20),AS$17)=0,$A25&gt;=AS$20),AT$17,0)+IF(AND(MOD(($A25-AS$20),AS$18)=0,$A25&gt;=AS$20),AT$18,0)+IF(AND(MOD(($A25-AS$20),AS$19)=0,$A25&gt;=AS$20),AT$19,0)))</f>
        <v>0</v>
      </c>
      <c r="AS25" s="38"/>
      <c r="AT25" s="39"/>
      <c r="AU25" s="40">
        <f t="shared" ref="AU25:AU26" si="18">SUM(AQ25:AT25)</f>
        <v>0</v>
      </c>
      <c r="AV25" s="41">
        <f t="shared" ref="AV25:AV88" si="19">AQ25*$B25</f>
        <v>0</v>
      </c>
      <c r="AW25" s="42">
        <f t="shared" ref="AW25:AW88" si="20">AR25*$B25</f>
        <v>0</v>
      </c>
      <c r="AX25" s="43">
        <f t="shared" ref="AX25:AX88" si="21">AS25*$B25</f>
        <v>0</v>
      </c>
      <c r="AY25" s="43">
        <f t="shared" ref="AY25:AY88" si="22">AT25*$B25</f>
        <v>0</v>
      </c>
      <c r="AZ25" s="44">
        <f>SUM(AV25:AY25)</f>
        <v>0</v>
      </c>
      <c r="BA25" s="82">
        <f>IF($A25=BC$20,'Construction Costs_2022'!$K$104+'Construction Costs_2022'!$K$7,0)</f>
        <v>0</v>
      </c>
      <c r="BB25" s="38">
        <f>IF(BA25&gt;0,0,SUM(IF(AND(MOD(($A25-BC$20),BC$13)=0,$A25&gt;=BC$20),BD$13,0)+IF(AND(MOD(($A25-BC$20),BC$14)=0,$A25&gt;=BC$20),BD$14,0)+IF(AND(MOD(($A25-BC$20),BC$15)=0,$A25&gt;=BC$20),BD$15,0)+IF(AND(MOD(($A25-BC$20),BC$16)=0,$A25&gt;=BC$20),BD$16,0)+IF(AND(MOD(($A25-BC$20),BC$17)=0,$A25&gt;=BC$20),BD$17,0)+IF(AND(MOD(($A25-BC$20),BC$18)=0,$A25&gt;=BC$20),BD$18,0)+IF(AND(MOD(($A25-BC$20),BC$19)=0,$A25&gt;=BC$20),BD$19,0)))</f>
        <v>0</v>
      </c>
      <c r="BC25" s="38"/>
      <c r="BD25" s="39"/>
      <c r="BE25" s="40">
        <f t="shared" ref="BE25:BE26" si="23">SUM(BA25:BD25)</f>
        <v>0</v>
      </c>
      <c r="BF25" s="41">
        <f t="shared" ref="BF25:BF88" si="24">BA25*$B25</f>
        <v>0</v>
      </c>
      <c r="BG25" s="42">
        <f t="shared" ref="BG25:BG88" si="25">BB25*$B25</f>
        <v>0</v>
      </c>
      <c r="BH25" s="43">
        <f t="shared" ref="BH25:BH88" si="26">BC25*$B25</f>
        <v>0</v>
      </c>
      <c r="BI25" s="43">
        <f t="shared" ref="BI25:BI88" si="27">BD25*$B25</f>
        <v>0</v>
      </c>
      <c r="BJ25" s="44">
        <f>SUM(BF25:BI25)</f>
        <v>0</v>
      </c>
    </row>
    <row r="26" spans="1:62" s="3" customFormat="1" ht="12.75" x14ac:dyDescent="0.2">
      <c r="A26" s="12">
        <f t="shared" ref="A26:A89" si="28">A25+1</f>
        <v>1</v>
      </c>
      <c r="B26" s="13">
        <f t="shared" ref="B26:B55" si="29">B25/(1+$D$9)</f>
        <v>0.96618357487922713</v>
      </c>
      <c r="C26" s="82">
        <f>IF($A26=E$20,'Construction Costs_2022'!$K$22+'Construction Costs_2022'!$K$7,0)</f>
        <v>0</v>
      </c>
      <c r="D26" s="38">
        <f t="shared" si="6"/>
        <v>0</v>
      </c>
      <c r="E26" s="38">
        <f>+'Future cost, inflation and risk'!C34-50000+'Future cost, inflation and risk'!C33+'Future cost, inflation and risk'!C35+'Future cost, inflation and risk'!C38+'Future cost, inflation and risk'!H17</f>
        <v>1097471.68</v>
      </c>
      <c r="F26" s="45"/>
      <c r="G26" s="46">
        <f t="shared" si="7"/>
        <v>1097471.68</v>
      </c>
      <c r="H26" s="41">
        <f t="shared" si="8"/>
        <v>0</v>
      </c>
      <c r="I26" s="41">
        <f t="shared" si="8"/>
        <v>0</v>
      </c>
      <c r="J26" s="47">
        <f t="shared" si="8"/>
        <v>1060359.1111111112</v>
      </c>
      <c r="K26" s="47">
        <f t="shared" si="8"/>
        <v>0</v>
      </c>
      <c r="L26" s="48">
        <f t="shared" ref="L26:L89" si="30">SUM(H26:K26)</f>
        <v>1060359.1111111112</v>
      </c>
      <c r="M26" s="91">
        <f>IF($A26=O$20,'Construction Costs_2022'!$K$43+'Construction Costs_2022'!$K$7,0)</f>
        <v>0</v>
      </c>
      <c r="N26" s="38">
        <f t="shared" ref="N26:N89" si="31">IF(M26&gt;0,0,SUM(IF(AND(MOD(($A26-O$20),O$13)=0,$A26&gt;=O$20),P$13,0)+IF(AND(MOD(($A26-O$20),O$14)=0,$A26&gt;=O$20),P$14,0)+IF(AND(MOD(($A26-O$20),O$15)=0,$A26&gt;=O$20),P$15,0)+IF(AND(MOD(($A26-O$20),O$16)=0,$A26&gt;=O$20),P$16,0)+IF(AND(MOD(($A26-O$20),O$17)=0,$A26&gt;=O$20),P$17,0)+IF(AND(MOD(($A26-O$20),O$18)=0,$A26&gt;=O$20),P$18,0)+IF(AND(MOD(($A26-O$20),O$19)=0,$A26&gt;=O$20),P$19,0)))</f>
        <v>0</v>
      </c>
      <c r="O26" s="38">
        <f>+'Future cost, inflation and risk'!C34-50000+'Future cost, inflation and risk'!C33+'Future cost, inflation and risk'!C35+'Future cost, inflation and risk'!C38+'Future cost, inflation and risk'!H17</f>
        <v>1097471.68</v>
      </c>
      <c r="P26" s="45"/>
      <c r="Q26" s="46">
        <f t="shared" ref="Q26:Q56" si="32">SUM(M26:P26)</f>
        <v>1097471.68</v>
      </c>
      <c r="R26" s="41">
        <f t="shared" si="9"/>
        <v>0</v>
      </c>
      <c r="S26" s="41">
        <f t="shared" si="9"/>
        <v>0</v>
      </c>
      <c r="T26" s="47">
        <f t="shared" si="9"/>
        <v>1060359.1111111112</v>
      </c>
      <c r="U26" s="47">
        <f t="shared" si="10"/>
        <v>0</v>
      </c>
      <c r="V26" s="48">
        <f t="shared" ref="V26:V89" si="33">SUM(R26:U26)</f>
        <v>1060359.1111111112</v>
      </c>
      <c r="W26" s="82">
        <f>IF($A26=Y$20,'Construction Costs_2022'!$K$64+'Construction Costs_2022'!$K$7,0)</f>
        <v>0</v>
      </c>
      <c r="X26" s="38">
        <f t="shared" ref="X26:X89" si="34">IF(W26&gt;0,0,SUM(IF(AND(MOD(($A26-Y$20),Y$13)=0,$A26&gt;=Y$20),Z$13,0)+IF(AND(MOD(($A26-Y$20),Y$14)=0,$A26&gt;=Y$20),Z$14,0)+IF(AND(MOD(($A26-Y$20),Y$15)=0,$A26&gt;=Y$20),Z$15,0)+IF(AND(MOD(($A26-Y$20),Y$16)=0,$A26&gt;=Y$20),Z$16,0)+IF(AND(MOD(($A26-Y$20),Y$17)=0,$A26&gt;=Y$20),Z$17,0)+IF(AND(MOD(($A26-Y$20),Y$18)=0,$A26&gt;=Y$20),Z$18,0)+IF(AND(MOD(($A26-Y$20),Y$19)=0,$A26&gt;=Y$20),Z$19,0)))</f>
        <v>0</v>
      </c>
      <c r="Y26" s="38">
        <f>+'Future cost, inflation and risk'!C34-50000+'Future cost, inflation and risk'!C33+'Future cost, inflation and risk'!C35+'Future cost, inflation and risk'!C38+'Future cost, inflation and risk'!H17</f>
        <v>1097471.68</v>
      </c>
      <c r="Z26" s="45"/>
      <c r="AA26" s="46">
        <f t="shared" ref="AA26:AA56" si="35">SUM(W26:Z26)</f>
        <v>1097471.68</v>
      </c>
      <c r="AB26" s="41">
        <f t="shared" si="11"/>
        <v>0</v>
      </c>
      <c r="AC26" s="41">
        <f t="shared" si="11"/>
        <v>0</v>
      </c>
      <c r="AD26" s="47">
        <f>Y26*$B26</f>
        <v>1060359.1111111112</v>
      </c>
      <c r="AE26" s="47">
        <f t="shared" si="12"/>
        <v>0</v>
      </c>
      <c r="AF26" s="48">
        <f t="shared" ref="AF26:AF89" si="36">SUM(AB26:AE26)</f>
        <v>1060359.1111111112</v>
      </c>
      <c r="AG26" s="82">
        <f>IF($A26=AI$20,'Construction Costs_2022'!$K$84+'Construction Costs_2022'!$K$7,0)</f>
        <v>0</v>
      </c>
      <c r="AH26" s="38">
        <f t="shared" ref="AH26:AH89" si="37">IF(AG26&gt;0,0,SUM(IF(AND(MOD(($A26-AI$20),AI$13)=0,$A26&gt;=AI$20),AJ$13,0)+IF(AND(MOD(($A26-AI$20),AI$14)=0,$A26&gt;=AI$20),AJ$14,0)+IF(AND(MOD(($A26-AI$20),AI$15)=0,$A26&gt;=AI$20),AJ$15,0)+IF(AND(MOD(($A26-AI$20),AI$16)=0,$A26&gt;=AI$20),AJ$16,0)+IF(AND(MOD(($A26-AI$20),AI$17)=0,$A26&gt;=AI$20),AJ$17,0)+IF(AND(MOD(($A26-AI$20),AI$18)=0,$A26&gt;=AI$20),AJ$18,0)+IF(AND(MOD(($A26-AI$20),AI$19)=0,$A26&gt;=AI$20),AJ$19,0)))</f>
        <v>0</v>
      </c>
      <c r="AI26" s="38">
        <f>+'Future cost, inflation and risk'!C34-50000+'Future cost, inflation and risk'!C33+'Future cost, inflation and risk'!C35+'Future cost, inflation and risk'!C38+'Future cost, inflation and risk'!H17</f>
        <v>1097471.68</v>
      </c>
      <c r="AJ26" s="45"/>
      <c r="AK26" s="46">
        <f t="shared" si="13"/>
        <v>1097471.68</v>
      </c>
      <c r="AL26" s="41">
        <f t="shared" si="14"/>
        <v>0</v>
      </c>
      <c r="AM26" s="41">
        <f t="shared" si="15"/>
        <v>0</v>
      </c>
      <c r="AN26" s="47">
        <f t="shared" si="16"/>
        <v>1060359.1111111112</v>
      </c>
      <c r="AO26" s="47">
        <f t="shared" si="17"/>
        <v>0</v>
      </c>
      <c r="AP26" s="48">
        <f t="shared" ref="AP26:AP89" si="38">SUM(AL26:AO26)</f>
        <v>1060359.1111111112</v>
      </c>
      <c r="AQ26" s="82">
        <f>IF($A26=AS$20,'Construction Costs_2022'!$K$104+'Construction Costs_2022'!$K$7,0)</f>
        <v>0</v>
      </c>
      <c r="AR26" s="38">
        <f t="shared" ref="AR26:AR89" si="39">IF(AQ26&gt;0,0,SUM(IF(AND(MOD(($A26-AS$20),AS$13)=0,$A26&gt;=AS$20),AT$13,0)+IF(AND(MOD(($A26-AS$20),AS$14)=0,$A26&gt;=AS$20),AT$14,0)+IF(AND(MOD(($A26-AS$20),AS$15)=0,$A26&gt;=AS$20),AT$15,0)+IF(AND(MOD(($A26-AS$20),AS$16)=0,$A26&gt;=AS$20),AT$16,0)+IF(AND(MOD(($A26-AS$20),AS$17)=0,$A26&gt;=AS$20),AT$17,0)+IF(AND(MOD(($A26-AS$20),AS$18)=0,$A26&gt;=AS$20),AT$18,0)+IF(AND(MOD(($A26-AS$20),AS$19)=0,$A26&gt;=AS$20),AT$19,0)))</f>
        <v>0</v>
      </c>
      <c r="AS26" s="38">
        <f>+'Future cost, inflation and risk'!C34-50000+'Future cost, inflation and risk'!C33+'Future cost, inflation and risk'!C35+'Future cost, inflation and risk'!C38+'Future cost, inflation and risk'!H17</f>
        <v>1097471.68</v>
      </c>
      <c r="AT26" s="45"/>
      <c r="AU26" s="46">
        <f t="shared" si="18"/>
        <v>1097471.68</v>
      </c>
      <c r="AV26" s="41">
        <f t="shared" si="19"/>
        <v>0</v>
      </c>
      <c r="AW26" s="41">
        <f t="shared" si="20"/>
        <v>0</v>
      </c>
      <c r="AX26" s="47">
        <f t="shared" si="21"/>
        <v>1060359.1111111112</v>
      </c>
      <c r="AY26" s="47">
        <f t="shared" si="22"/>
        <v>0</v>
      </c>
      <c r="AZ26" s="48">
        <f t="shared" ref="AZ26:AZ89" si="40">SUM(AV26:AY26)</f>
        <v>1060359.1111111112</v>
      </c>
      <c r="BA26" s="82">
        <f>IF($A26=BC$20,'Construction Costs_2022'!$K$104+'Construction Costs_2022'!$K$7,0)</f>
        <v>0</v>
      </c>
      <c r="BB26" s="38">
        <f t="shared" ref="BB26:BB89" si="41">IF(BA26&gt;0,0,SUM(IF(AND(MOD(($A26-BC$20),BC$13)=0,$A26&gt;=BC$20),BD$13,0)+IF(AND(MOD(($A26-BC$20),BC$14)=0,$A26&gt;=BC$20),BD$14,0)+IF(AND(MOD(($A26-BC$20),BC$15)=0,$A26&gt;=BC$20),BD$15,0)+IF(AND(MOD(($A26-BC$20),BC$16)=0,$A26&gt;=BC$20),BD$16,0)+IF(AND(MOD(($A26-BC$20),BC$17)=0,$A26&gt;=BC$20),BD$17,0)+IF(AND(MOD(($A26-BC$20),BC$18)=0,$A26&gt;=BC$20),BD$18,0)+IF(AND(MOD(($A26-BC$20),BC$19)=0,$A26&gt;=BC$20),BD$19,0)))</f>
        <v>0</v>
      </c>
      <c r="BC26" s="38">
        <f>+'Future cost, inflation and risk'!C34+'Future cost, inflation and risk'!C33+'Future cost, inflation and risk'!C35+'Future cost, inflation and risk'!C38+'Future cost, inflation and risk'!H17</f>
        <v>1147471.68</v>
      </c>
      <c r="BD26" s="45"/>
      <c r="BE26" s="46">
        <f t="shared" si="23"/>
        <v>1147471.68</v>
      </c>
      <c r="BF26" s="41">
        <f t="shared" si="24"/>
        <v>0</v>
      </c>
      <c r="BG26" s="41">
        <f t="shared" si="25"/>
        <v>0</v>
      </c>
      <c r="BH26" s="47">
        <f t="shared" si="26"/>
        <v>1108668.2898550725</v>
      </c>
      <c r="BI26" s="47">
        <f t="shared" si="27"/>
        <v>0</v>
      </c>
      <c r="BJ26" s="48">
        <f t="shared" ref="BJ26:BJ89" si="42">SUM(BF26:BI26)</f>
        <v>1108668.2898550725</v>
      </c>
    </row>
    <row r="27" spans="1:62" s="3" customFormat="1" ht="12.75" x14ac:dyDescent="0.2">
      <c r="A27" s="12">
        <f t="shared" si="28"/>
        <v>2</v>
      </c>
      <c r="B27" s="13">
        <f>B26/(1+$D$9)</f>
        <v>0.93351070036640305</v>
      </c>
      <c r="C27" s="82">
        <f>IF($A27=E$20,'Construction Costs_2022'!$K$22+'Construction Costs_2022'!$K$7,0)</f>
        <v>8257454.7049041586</v>
      </c>
      <c r="D27" s="38">
        <f>IF(C27&gt;0,0,SUM(IF(AND(MOD(($A27-E$20),E$13)=0,$A27&gt;=E$20),F$13,0)+IF(AND(MOD(($A27-E$20),E$14)=0,$A27&gt;=E$20),F$14,0)+IF(AND(MOD(($A27-E$20),E$15)=0,$A27&gt;=E$20),F$15,0)+IF(AND(MOD(($A27-E$20),E$16)=0,$A27&gt;=E$20),F$16,0)+IF(AND(MOD(($A27-E$20),E$17)=0,$A27&gt;=E$20),F$17,0)+IF(AND(MOD(($A27-E$20),E$18)=0,$A27&gt;=E$20),F$18,0)+IF(AND(MOD(($A27-E$20),E$19)=0,$A27&gt;=E$20),F$19,0)))</f>
        <v>0</v>
      </c>
      <c r="E27" s="38">
        <f>+'Future cost, inflation and risk'!C37</f>
        <v>267375</v>
      </c>
      <c r="F27" s="45"/>
      <c r="G27" s="46">
        <f>SUM(C27:F27)</f>
        <v>8524829.7049041577</v>
      </c>
      <c r="H27" s="41">
        <f>C27*$B27</f>
        <v>7708422.3248189315</v>
      </c>
      <c r="I27" s="41">
        <f t="shared" si="8"/>
        <v>0</v>
      </c>
      <c r="J27" s="47">
        <f t="shared" si="8"/>
        <v>249597.42351046702</v>
      </c>
      <c r="K27" s="47">
        <f t="shared" si="8"/>
        <v>0</v>
      </c>
      <c r="L27" s="92">
        <f>SUM(H27:K27)</f>
        <v>7958019.7483293982</v>
      </c>
      <c r="M27" s="91">
        <f>IF($A27=O$20,'Construction Costs_2022'!$K$43+'Construction Costs_2022'!$K$7,0)</f>
        <v>8539893.595808316</v>
      </c>
      <c r="N27" s="38">
        <f t="shared" si="31"/>
        <v>0</v>
      </c>
      <c r="O27" s="38">
        <f>+'Future cost, inflation and risk'!C37</f>
        <v>267375</v>
      </c>
      <c r="P27" s="45"/>
      <c r="Q27" s="46">
        <f>SUM(M27:P27)</f>
        <v>8807268.595808316</v>
      </c>
      <c r="R27" s="41">
        <f t="shared" si="9"/>
        <v>7972082.0516775809</v>
      </c>
      <c r="S27" s="41">
        <f>N27*$B27</f>
        <v>0</v>
      </c>
      <c r="T27" s="47">
        <f t="shared" si="9"/>
        <v>249597.42351046702</v>
      </c>
      <c r="U27" s="47">
        <f t="shared" si="10"/>
        <v>0</v>
      </c>
      <c r="V27" s="92">
        <f t="shared" si="33"/>
        <v>8221679.4751880476</v>
      </c>
      <c r="W27" s="82">
        <f>IF($A27=Y$20,'Construction Costs_2022'!$K$64+'Construction Costs_2022'!$K$7,0)</f>
        <v>9100371.9241785407</v>
      </c>
      <c r="X27" s="38">
        <f t="shared" si="34"/>
        <v>0</v>
      </c>
      <c r="Y27" s="38">
        <f>+'Future cost, inflation and risk'!C37</f>
        <v>267375</v>
      </c>
      <c r="Z27" s="45"/>
      <c r="AA27" s="46">
        <f>SUM(W27:Z27)</f>
        <v>9367746.9241785407</v>
      </c>
      <c r="AB27" s="41">
        <f t="shared" si="11"/>
        <v>8495294.5685346611</v>
      </c>
      <c r="AC27" s="41">
        <f t="shared" si="11"/>
        <v>0</v>
      </c>
      <c r="AD27" s="47">
        <f>Y27*$B27</f>
        <v>249597.42351046702</v>
      </c>
      <c r="AE27" s="47">
        <f t="shared" si="12"/>
        <v>0</v>
      </c>
      <c r="AF27" s="92">
        <f t="shared" si="36"/>
        <v>8744891.9920451287</v>
      </c>
      <c r="AG27" s="82">
        <f>IF($A27=AI$20,'Construction Costs_2022'!$K$84+'Construction Costs_2022'!$K$7,0)</f>
        <v>9382808.1510826983</v>
      </c>
      <c r="AH27" s="38">
        <f t="shared" si="37"/>
        <v>0</v>
      </c>
      <c r="AI27" s="38">
        <f>+'Future cost, inflation and risk'!C37</f>
        <v>267375</v>
      </c>
      <c r="AJ27" s="45"/>
      <c r="AK27" s="46">
        <f>SUM(AG27:AJ27)</f>
        <v>9650183.1510826983</v>
      </c>
      <c r="AL27" s="41">
        <f t="shared" si="14"/>
        <v>8758951.8085208051</v>
      </c>
      <c r="AM27" s="41">
        <f t="shared" si="15"/>
        <v>0</v>
      </c>
      <c r="AN27" s="47">
        <f t="shared" si="16"/>
        <v>249597.42351046702</v>
      </c>
      <c r="AO27" s="47">
        <f t="shared" si="17"/>
        <v>0</v>
      </c>
      <c r="AP27" s="92">
        <f t="shared" si="38"/>
        <v>9008549.2320312727</v>
      </c>
      <c r="AQ27" s="82">
        <f>IF($A27=AS$20,'Construction Costs_2022'!$K$104+'Construction Costs_2022'!$K$7,0)</f>
        <v>10029350.370357079</v>
      </c>
      <c r="AR27" s="38">
        <f t="shared" si="39"/>
        <v>0</v>
      </c>
      <c r="AS27" s="38">
        <f>+'Future cost, inflation and risk'!C37</f>
        <v>267375</v>
      </c>
      <c r="AT27" s="45"/>
      <c r="AU27" s="46">
        <f>SUM(AQ27:AT27)</f>
        <v>10296725.370357079</v>
      </c>
      <c r="AV27" s="41">
        <f t="shared" si="19"/>
        <v>9362505.888452081</v>
      </c>
      <c r="AW27" s="41">
        <f t="shared" si="20"/>
        <v>0</v>
      </c>
      <c r="AX27" s="47">
        <f t="shared" si="21"/>
        <v>249597.42351046702</v>
      </c>
      <c r="AY27" s="47">
        <f t="shared" si="22"/>
        <v>0</v>
      </c>
      <c r="AZ27" s="92">
        <f t="shared" si="40"/>
        <v>9612103.3119625486</v>
      </c>
      <c r="BA27" s="82">
        <f>IF($A27=BC$20,'Construction Costs_2022'!$K$128+'Construction Costs_2022'!$K$7,0)</f>
        <v>12108570.21417854</v>
      </c>
      <c r="BB27" s="38">
        <f t="shared" si="41"/>
        <v>0</v>
      </c>
      <c r="BC27" s="38">
        <f>+'Future cost, inflation and risk'!C37</f>
        <v>267375</v>
      </c>
      <c r="BD27" s="45"/>
      <c r="BE27" s="46">
        <f>SUM(BA27:BD27)</f>
        <v>12375945.21417854</v>
      </c>
      <c r="BF27" s="41">
        <f>BA27*$B27</f>
        <v>11303479.861073576</v>
      </c>
      <c r="BG27" s="41">
        <f t="shared" si="25"/>
        <v>0</v>
      </c>
      <c r="BH27" s="47">
        <f t="shared" si="26"/>
        <v>249597.42351046702</v>
      </c>
      <c r="BI27" s="47">
        <f t="shared" si="27"/>
        <v>0</v>
      </c>
      <c r="BJ27" s="92">
        <f t="shared" si="42"/>
        <v>11553077.284584044</v>
      </c>
    </row>
    <row r="28" spans="1:62" s="3" customFormat="1" ht="12.75" x14ac:dyDescent="0.2">
      <c r="A28" s="12">
        <f t="shared" si="28"/>
        <v>3</v>
      </c>
      <c r="B28" s="13">
        <f t="shared" si="29"/>
        <v>0.90194270566802237</v>
      </c>
      <c r="C28" s="82">
        <f>IF($A28=E$20,'Construction Costs_2022'!$K$22+'Construction Costs_2022'!$K$7,0)</f>
        <v>0</v>
      </c>
      <c r="D28" s="38">
        <f>IF(C28&gt;0,0,SUM(IF(AND(MOD(($A28-E$20),E$13)=0,$A28&gt;=E$20),F$13,0)+IF(AND(MOD(($A28-E$20),E$14)=0,$A28&gt;=E$20),F$14,0)+IF(AND(MOD(($A28-E$20),E$15)=0,$A28&gt;=E$20),F$15,0)+IF(AND(MOD(($A28-E$20),E$16)=0,$A28&gt;=E$20),F$16,0)+IF(AND(MOD(($A28-E$20),E$17)=0,$A28&gt;=E$20),F$17,0)+IF(AND(MOD(($A28-E$20),E$18)=0,$A28&gt;=E$20),F$18,0)+IF(AND(MOD(($A28-E$20),E$19)=0,$A28&gt;=E$20),F$19,0)))</f>
        <v>28800</v>
      </c>
      <c r="E28" s="38"/>
      <c r="F28" s="45"/>
      <c r="G28" s="46">
        <f>SUM(C28:F28)</f>
        <v>28800</v>
      </c>
      <c r="H28" s="41">
        <f t="shared" si="8"/>
        <v>0</v>
      </c>
      <c r="I28" s="41">
        <f>D28*$B28</f>
        <v>25975.949923239044</v>
      </c>
      <c r="J28" s="47">
        <f t="shared" si="8"/>
        <v>0</v>
      </c>
      <c r="K28" s="47">
        <f t="shared" si="8"/>
        <v>0</v>
      </c>
      <c r="L28" s="92">
        <f t="shared" si="30"/>
        <v>25975.949923239044</v>
      </c>
      <c r="M28" s="91">
        <f>IF($A28=O$20,'Construction Costs_2022'!$K$43+'Construction Costs_2022'!$K$7,0)</f>
        <v>0</v>
      </c>
      <c r="N28" s="38">
        <f t="shared" si="31"/>
        <v>43200</v>
      </c>
      <c r="O28" s="38"/>
      <c r="P28" s="45"/>
      <c r="Q28" s="46">
        <f t="shared" si="32"/>
        <v>43200</v>
      </c>
      <c r="R28" s="41">
        <f t="shared" si="9"/>
        <v>0</v>
      </c>
      <c r="S28" s="41">
        <f t="shared" si="9"/>
        <v>38963.924884858563</v>
      </c>
      <c r="T28" s="47">
        <f t="shared" si="9"/>
        <v>0</v>
      </c>
      <c r="U28" s="47">
        <f t="shared" si="10"/>
        <v>0</v>
      </c>
      <c r="V28" s="92">
        <f t="shared" si="33"/>
        <v>38963.924884858563</v>
      </c>
      <c r="W28" s="82">
        <f>IF($A28=Y$20,'Construction Costs_2022'!$K$64+'Construction Costs_2022'!$K$7,0)</f>
        <v>0</v>
      </c>
      <c r="X28" s="38">
        <f t="shared" si="34"/>
        <v>0</v>
      </c>
      <c r="Y28" s="38"/>
      <c r="Z28" s="45"/>
      <c r="AA28" s="46">
        <f t="shared" si="35"/>
        <v>0</v>
      </c>
      <c r="AB28" s="41">
        <f t="shared" si="11"/>
        <v>0</v>
      </c>
      <c r="AC28" s="41">
        <f t="shared" si="11"/>
        <v>0</v>
      </c>
      <c r="AD28" s="47">
        <f>Y28*$B28</f>
        <v>0</v>
      </c>
      <c r="AE28" s="47">
        <f t="shared" si="12"/>
        <v>0</v>
      </c>
      <c r="AF28" s="92">
        <f t="shared" si="36"/>
        <v>0</v>
      </c>
      <c r="AG28" s="82">
        <f>IF($A28=AI$20,'Construction Costs_2022'!$K$84+'Construction Costs_2022'!$K$7,0)</f>
        <v>0</v>
      </c>
      <c r="AH28" s="38">
        <f t="shared" si="37"/>
        <v>0</v>
      </c>
      <c r="AI28" s="38"/>
      <c r="AJ28" s="45"/>
      <c r="AK28" s="46">
        <f t="shared" ref="AK28:AK56" si="43">SUM(AG28:AJ28)</f>
        <v>0</v>
      </c>
      <c r="AL28" s="41">
        <f t="shared" si="14"/>
        <v>0</v>
      </c>
      <c r="AM28" s="41">
        <f t="shared" si="15"/>
        <v>0</v>
      </c>
      <c r="AN28" s="47">
        <f t="shared" si="16"/>
        <v>0</v>
      </c>
      <c r="AO28" s="47">
        <f t="shared" si="17"/>
        <v>0</v>
      </c>
      <c r="AP28" s="92">
        <f t="shared" si="38"/>
        <v>0</v>
      </c>
      <c r="AQ28" s="82">
        <f>IF($A28=AS$20,'Construction Costs_2022'!$K$104+'Construction Costs_2022'!$K$7,0)</f>
        <v>0</v>
      </c>
      <c r="AR28" s="38">
        <f t="shared" si="39"/>
        <v>0</v>
      </c>
      <c r="AS28" s="38"/>
      <c r="AT28" s="45"/>
      <c r="AU28" s="46">
        <f t="shared" ref="AU28:AU56" si="44">SUM(AQ28:AT28)</f>
        <v>0</v>
      </c>
      <c r="AV28" s="41">
        <f t="shared" si="19"/>
        <v>0</v>
      </c>
      <c r="AW28" s="41">
        <f t="shared" si="20"/>
        <v>0</v>
      </c>
      <c r="AX28" s="47">
        <f t="shared" si="21"/>
        <v>0</v>
      </c>
      <c r="AY28" s="47">
        <f t="shared" si="22"/>
        <v>0</v>
      </c>
      <c r="AZ28" s="92">
        <f t="shared" si="40"/>
        <v>0</v>
      </c>
      <c r="BA28" s="82">
        <f>IF($A28=BC$20,'Construction Costs_2022'!$K$104+'Construction Costs_2022'!$K$7,0)</f>
        <v>0</v>
      </c>
      <c r="BB28" s="38">
        <f t="shared" si="41"/>
        <v>0</v>
      </c>
      <c r="BC28" s="38"/>
      <c r="BD28" s="45"/>
      <c r="BE28" s="46">
        <f t="shared" ref="BE28:BE91" si="45">SUM(BA28:BD28)</f>
        <v>0</v>
      </c>
      <c r="BF28" s="41">
        <f t="shared" si="24"/>
        <v>0</v>
      </c>
      <c r="BG28" s="41">
        <f>BB28*$B28</f>
        <v>0</v>
      </c>
      <c r="BH28" s="47">
        <f t="shared" si="26"/>
        <v>0</v>
      </c>
      <c r="BI28" s="47">
        <f t="shared" si="27"/>
        <v>0</v>
      </c>
      <c r="BJ28" s="92">
        <f t="shared" si="42"/>
        <v>0</v>
      </c>
    </row>
    <row r="29" spans="1:62" s="3" customFormat="1" ht="12.75" x14ac:dyDescent="0.2">
      <c r="A29" s="12">
        <f t="shared" si="28"/>
        <v>4</v>
      </c>
      <c r="B29" s="13">
        <f t="shared" si="29"/>
        <v>0.87144222769857238</v>
      </c>
      <c r="C29" s="82">
        <f>IF($A29=E$20,'Construction Costs_2022'!$K$22+'Construction Costs_2022'!$K$7,0)</f>
        <v>0</v>
      </c>
      <c r="D29" s="38">
        <f t="shared" ref="D29:D91" si="46">IF(C29&gt;0,0,SUM(IF(AND(MOD(($A29-E$20),E$13)=0,$A29&gt;=E$20),F$13,0)+IF(AND(MOD(($A29-E$20),E$14)=0,$A29&gt;=E$20),F$14,0)+IF(AND(MOD(($A29-E$20),E$15)=0,$A29&gt;=E$20),F$15,0)+IF(AND(MOD(($A29-E$20),E$16)=0,$A29&gt;=E$20),F$16,0)+IF(AND(MOD(($A29-E$20),E$17)=0,$A29&gt;=E$20),F$17,0)+IF(AND(MOD(($A29-E$20),E$18)=0,$A29&gt;=E$20),F$18,0)+IF(AND(MOD(($A29-E$20),E$19)=0,$A29&gt;=E$20),F$19,0)))</f>
        <v>28800</v>
      </c>
      <c r="E29" s="38"/>
      <c r="F29" s="45"/>
      <c r="G29" s="46">
        <f t="shared" si="7"/>
        <v>28800</v>
      </c>
      <c r="H29" s="41">
        <f t="shared" si="8"/>
        <v>0</v>
      </c>
      <c r="I29" s="41">
        <f t="shared" si="8"/>
        <v>25097.536157718885</v>
      </c>
      <c r="J29" s="47">
        <f t="shared" si="8"/>
        <v>0</v>
      </c>
      <c r="K29" s="47">
        <f t="shared" si="8"/>
        <v>0</v>
      </c>
      <c r="L29" s="92">
        <f t="shared" si="30"/>
        <v>25097.536157718885</v>
      </c>
      <c r="M29" s="91">
        <f>IF($A29=O$20,'Construction Costs_2022'!$K$43+'Construction Costs_2022'!$K$7,0)</f>
        <v>0</v>
      </c>
      <c r="N29" s="38">
        <f t="shared" si="31"/>
        <v>43200</v>
      </c>
      <c r="O29" s="38"/>
      <c r="P29" s="45"/>
      <c r="Q29" s="46">
        <f t="shared" si="32"/>
        <v>43200</v>
      </c>
      <c r="R29" s="41">
        <f t="shared" si="9"/>
        <v>0</v>
      </c>
      <c r="S29" s="41">
        <f t="shared" si="9"/>
        <v>37646.304236578326</v>
      </c>
      <c r="T29" s="47">
        <f t="shared" si="9"/>
        <v>0</v>
      </c>
      <c r="U29" s="47">
        <f t="shared" si="10"/>
        <v>0</v>
      </c>
      <c r="V29" s="92">
        <f t="shared" si="33"/>
        <v>37646.304236578326</v>
      </c>
      <c r="W29" s="82">
        <f>IF($A29=Y$20,'Construction Costs_2022'!$K$64+'Construction Costs_2022'!$K$7,0)</f>
        <v>0</v>
      </c>
      <c r="X29" s="38">
        <f t="shared" si="34"/>
        <v>0</v>
      </c>
      <c r="Y29" s="38"/>
      <c r="Z29" s="45"/>
      <c r="AA29" s="46">
        <f t="shared" si="35"/>
        <v>0</v>
      </c>
      <c r="AB29" s="41">
        <f t="shared" si="11"/>
        <v>0</v>
      </c>
      <c r="AC29" s="41">
        <f t="shared" si="11"/>
        <v>0</v>
      </c>
      <c r="AD29" s="47">
        <f t="shared" si="11"/>
        <v>0</v>
      </c>
      <c r="AE29" s="47">
        <f t="shared" si="12"/>
        <v>0</v>
      </c>
      <c r="AF29" s="92">
        <f t="shared" si="36"/>
        <v>0</v>
      </c>
      <c r="AG29" s="82">
        <f>IF($A29=AI$20,'Construction Costs_2022'!$K$84+'Construction Costs_2022'!$K$7,0)</f>
        <v>0</v>
      </c>
      <c r="AH29" s="38">
        <f t="shared" si="37"/>
        <v>0</v>
      </c>
      <c r="AI29" s="38"/>
      <c r="AJ29" s="45"/>
      <c r="AK29" s="46">
        <f t="shared" si="43"/>
        <v>0</v>
      </c>
      <c r="AL29" s="41">
        <f t="shared" si="14"/>
        <v>0</v>
      </c>
      <c r="AM29" s="41">
        <f t="shared" si="15"/>
        <v>0</v>
      </c>
      <c r="AN29" s="47">
        <f t="shared" si="16"/>
        <v>0</v>
      </c>
      <c r="AO29" s="47">
        <f t="shared" si="17"/>
        <v>0</v>
      </c>
      <c r="AP29" s="92">
        <f t="shared" si="38"/>
        <v>0</v>
      </c>
      <c r="AQ29" s="82">
        <f>IF($A29=AS$20,'Construction Costs_2022'!$K$104+'Construction Costs_2022'!$K$7,0)</f>
        <v>0</v>
      </c>
      <c r="AR29" s="38">
        <f t="shared" si="39"/>
        <v>0</v>
      </c>
      <c r="AS29" s="38"/>
      <c r="AT29" s="45"/>
      <c r="AU29" s="46">
        <f t="shared" si="44"/>
        <v>0</v>
      </c>
      <c r="AV29" s="41">
        <f t="shared" si="19"/>
        <v>0</v>
      </c>
      <c r="AW29" s="41">
        <f t="shared" si="20"/>
        <v>0</v>
      </c>
      <c r="AX29" s="47">
        <f t="shared" si="21"/>
        <v>0</v>
      </c>
      <c r="AY29" s="47">
        <f t="shared" si="22"/>
        <v>0</v>
      </c>
      <c r="AZ29" s="92">
        <f t="shared" si="40"/>
        <v>0</v>
      </c>
      <c r="BA29" s="82">
        <f>IF($A29=BC$20,'Construction Costs_2022'!$K$104+'Construction Costs_2022'!$K$7,0)</f>
        <v>0</v>
      </c>
      <c r="BB29" s="38">
        <f t="shared" si="41"/>
        <v>0</v>
      </c>
      <c r="BC29" s="38"/>
      <c r="BD29" s="45"/>
      <c r="BE29" s="46">
        <f t="shared" si="45"/>
        <v>0</v>
      </c>
      <c r="BF29" s="41">
        <f t="shared" si="24"/>
        <v>0</v>
      </c>
      <c r="BG29" s="41">
        <f t="shared" si="25"/>
        <v>0</v>
      </c>
      <c r="BH29" s="47">
        <f t="shared" si="26"/>
        <v>0</v>
      </c>
      <c r="BI29" s="47">
        <f t="shared" si="27"/>
        <v>0</v>
      </c>
      <c r="BJ29" s="92">
        <f t="shared" si="42"/>
        <v>0</v>
      </c>
    </row>
    <row r="30" spans="1:62" s="3" customFormat="1" ht="12.75" x14ac:dyDescent="0.2">
      <c r="A30" s="12">
        <f t="shared" si="28"/>
        <v>5</v>
      </c>
      <c r="B30" s="13">
        <f t="shared" si="29"/>
        <v>0.84197316685852408</v>
      </c>
      <c r="C30" s="82">
        <f>IF($A30=E$20,'Construction Costs_2022'!$K$22+'Construction Costs_2022'!$K$7,0)</f>
        <v>0</v>
      </c>
      <c r="D30" s="38">
        <f t="shared" si="46"/>
        <v>28800</v>
      </c>
      <c r="E30" s="38"/>
      <c r="F30" s="45"/>
      <c r="G30" s="46">
        <f t="shared" si="7"/>
        <v>28800</v>
      </c>
      <c r="H30" s="41">
        <f t="shared" si="8"/>
        <v>0</v>
      </c>
      <c r="I30" s="41">
        <f t="shared" si="8"/>
        <v>24248.827205525493</v>
      </c>
      <c r="J30" s="47">
        <f t="shared" si="8"/>
        <v>0</v>
      </c>
      <c r="K30" s="47">
        <f t="shared" si="8"/>
        <v>0</v>
      </c>
      <c r="L30" s="92">
        <f t="shared" si="30"/>
        <v>24248.827205525493</v>
      </c>
      <c r="M30" s="91">
        <f>IF($A30=O$20,'Construction Costs_2022'!$K$43+'Construction Costs_2022'!$K$7,0)</f>
        <v>0</v>
      </c>
      <c r="N30" s="38">
        <f t="shared" si="31"/>
        <v>43200</v>
      </c>
      <c r="O30" s="38"/>
      <c r="P30" s="45"/>
      <c r="Q30" s="46">
        <f t="shared" si="32"/>
        <v>43200</v>
      </c>
      <c r="R30" s="41">
        <f t="shared" si="9"/>
        <v>0</v>
      </c>
      <c r="S30" s="41">
        <f>N30*$B30</f>
        <v>36373.240808288239</v>
      </c>
      <c r="T30" s="47">
        <f t="shared" si="9"/>
        <v>0</v>
      </c>
      <c r="U30" s="47">
        <f t="shared" si="10"/>
        <v>0</v>
      </c>
      <c r="V30" s="92">
        <f t="shared" si="33"/>
        <v>36373.240808288239</v>
      </c>
      <c r="W30" s="82">
        <f>IF($A30=Y$20,'Construction Costs_2022'!$K$64+'Construction Costs_2022'!$K$7,0)</f>
        <v>0</v>
      </c>
      <c r="X30" s="38">
        <f t="shared" si="34"/>
        <v>0</v>
      </c>
      <c r="Y30" s="38"/>
      <c r="Z30" s="45"/>
      <c r="AA30" s="46">
        <f>SUM(W30:Z30)</f>
        <v>0</v>
      </c>
      <c r="AB30" s="41">
        <f t="shared" si="11"/>
        <v>0</v>
      </c>
      <c r="AC30" s="41">
        <f t="shared" si="11"/>
        <v>0</v>
      </c>
      <c r="AD30" s="47">
        <f t="shared" si="11"/>
        <v>0</v>
      </c>
      <c r="AE30" s="47">
        <f t="shared" si="12"/>
        <v>0</v>
      </c>
      <c r="AF30" s="92">
        <f t="shared" si="36"/>
        <v>0</v>
      </c>
      <c r="AG30" s="82">
        <f>IF($A30=AI$20,'Construction Costs_2022'!$K$84+'Construction Costs_2022'!$K$7,0)</f>
        <v>0</v>
      </c>
      <c r="AH30" s="38">
        <f t="shared" si="37"/>
        <v>0</v>
      </c>
      <c r="AI30" s="38"/>
      <c r="AJ30" s="45"/>
      <c r="AK30" s="46">
        <f t="shared" si="43"/>
        <v>0</v>
      </c>
      <c r="AL30" s="41">
        <f t="shared" si="14"/>
        <v>0</v>
      </c>
      <c r="AM30" s="41">
        <f t="shared" si="15"/>
        <v>0</v>
      </c>
      <c r="AN30" s="47">
        <f t="shared" si="16"/>
        <v>0</v>
      </c>
      <c r="AO30" s="47">
        <f t="shared" si="17"/>
        <v>0</v>
      </c>
      <c r="AP30" s="92">
        <f t="shared" si="38"/>
        <v>0</v>
      </c>
      <c r="AQ30" s="82">
        <f>IF($A30=AS$20,'Construction Costs_2022'!$K$104+'Construction Costs_2022'!$K$7,0)</f>
        <v>0</v>
      </c>
      <c r="AR30" s="38">
        <f t="shared" si="39"/>
        <v>0</v>
      </c>
      <c r="AS30" s="38"/>
      <c r="AT30" s="45"/>
      <c r="AU30" s="46">
        <f t="shared" si="44"/>
        <v>0</v>
      </c>
      <c r="AV30" s="41">
        <f t="shared" si="19"/>
        <v>0</v>
      </c>
      <c r="AW30" s="41">
        <f t="shared" si="20"/>
        <v>0</v>
      </c>
      <c r="AX30" s="47">
        <f t="shared" si="21"/>
        <v>0</v>
      </c>
      <c r="AY30" s="47">
        <f t="shared" si="22"/>
        <v>0</v>
      </c>
      <c r="AZ30" s="92">
        <f t="shared" si="40"/>
        <v>0</v>
      </c>
      <c r="BA30" s="82">
        <f>IF($A30=BC$20,'Construction Costs_2022'!$K$104+'Construction Costs_2022'!$K$7,0)</f>
        <v>0</v>
      </c>
      <c r="BB30" s="38">
        <f t="shared" si="41"/>
        <v>0</v>
      </c>
      <c r="BC30" s="38"/>
      <c r="BD30" s="45"/>
      <c r="BE30" s="46">
        <f t="shared" si="45"/>
        <v>0</v>
      </c>
      <c r="BF30" s="41">
        <f t="shared" si="24"/>
        <v>0</v>
      </c>
      <c r="BG30" s="41">
        <f t="shared" si="25"/>
        <v>0</v>
      </c>
      <c r="BH30" s="47">
        <f t="shared" si="26"/>
        <v>0</v>
      </c>
      <c r="BI30" s="47">
        <f t="shared" si="27"/>
        <v>0</v>
      </c>
      <c r="BJ30" s="92">
        <f t="shared" si="42"/>
        <v>0</v>
      </c>
    </row>
    <row r="31" spans="1:62" s="3" customFormat="1" ht="12.75" x14ac:dyDescent="0.2">
      <c r="A31" s="12">
        <f t="shared" si="28"/>
        <v>6</v>
      </c>
      <c r="B31" s="13">
        <f t="shared" si="29"/>
        <v>0.81350064430775282</v>
      </c>
      <c r="C31" s="82">
        <f>IF($A31=E$20,'Construction Costs_2022'!$K$22+'Construction Costs_2022'!$K$7,0)</f>
        <v>0</v>
      </c>
      <c r="D31" s="38">
        <f t="shared" si="46"/>
        <v>28800</v>
      </c>
      <c r="E31" s="38"/>
      <c r="F31" s="45"/>
      <c r="G31" s="46">
        <f t="shared" si="7"/>
        <v>28800</v>
      </c>
      <c r="H31" s="41">
        <f t="shared" si="8"/>
        <v>0</v>
      </c>
      <c r="I31" s="41">
        <f t="shared" si="8"/>
        <v>23428.818556063281</v>
      </c>
      <c r="J31" s="47">
        <f t="shared" si="8"/>
        <v>0</v>
      </c>
      <c r="K31" s="47">
        <f t="shared" si="8"/>
        <v>0</v>
      </c>
      <c r="L31" s="92">
        <f t="shared" si="30"/>
        <v>23428.818556063281</v>
      </c>
      <c r="M31" s="91">
        <f>IF($A31=O$20,'Construction Costs_2022'!$K$43+'Construction Costs_2022'!$K$7,0)</f>
        <v>0</v>
      </c>
      <c r="N31" s="38">
        <f t="shared" si="31"/>
        <v>43200</v>
      </c>
      <c r="O31" s="38"/>
      <c r="P31" s="45"/>
      <c r="Q31" s="46">
        <f t="shared" si="32"/>
        <v>43200</v>
      </c>
      <c r="R31" s="41">
        <f t="shared" si="9"/>
        <v>0</v>
      </c>
      <c r="S31" s="41">
        <f t="shared" ref="S31:S94" si="47">N31*$B31</f>
        <v>35143.22783409492</v>
      </c>
      <c r="T31" s="47">
        <f t="shared" si="9"/>
        <v>0</v>
      </c>
      <c r="U31" s="47">
        <f t="shared" si="10"/>
        <v>0</v>
      </c>
      <c r="V31" s="92">
        <f t="shared" si="33"/>
        <v>35143.22783409492</v>
      </c>
      <c r="W31" s="82">
        <f>IF($A31=Y$20,'Construction Costs_2022'!$K$64+'Construction Costs_2022'!$K$7,0)</f>
        <v>0</v>
      </c>
      <c r="X31" s="38">
        <f t="shared" si="34"/>
        <v>0</v>
      </c>
      <c r="Y31" s="38"/>
      <c r="Z31" s="45"/>
      <c r="AA31" s="46">
        <f t="shared" si="35"/>
        <v>0</v>
      </c>
      <c r="AB31" s="41">
        <f t="shared" si="11"/>
        <v>0</v>
      </c>
      <c r="AC31" s="41">
        <f t="shared" si="11"/>
        <v>0</v>
      </c>
      <c r="AD31" s="47">
        <f t="shared" si="11"/>
        <v>0</v>
      </c>
      <c r="AE31" s="47">
        <f t="shared" si="12"/>
        <v>0</v>
      </c>
      <c r="AF31" s="92">
        <f t="shared" si="36"/>
        <v>0</v>
      </c>
      <c r="AG31" s="82">
        <f>IF($A31=AI$20,'Construction Costs_2022'!$K$84+'Construction Costs_2022'!$K$7,0)</f>
        <v>0</v>
      </c>
      <c r="AH31" s="38">
        <f t="shared" si="37"/>
        <v>0</v>
      </c>
      <c r="AI31" s="38"/>
      <c r="AJ31" s="45"/>
      <c r="AK31" s="46">
        <f t="shared" si="43"/>
        <v>0</v>
      </c>
      <c r="AL31" s="41">
        <f t="shared" si="14"/>
        <v>0</v>
      </c>
      <c r="AM31" s="41">
        <f t="shared" si="15"/>
        <v>0</v>
      </c>
      <c r="AN31" s="47">
        <f t="shared" si="16"/>
        <v>0</v>
      </c>
      <c r="AO31" s="47">
        <f t="shared" si="17"/>
        <v>0</v>
      </c>
      <c r="AP31" s="92">
        <f t="shared" si="38"/>
        <v>0</v>
      </c>
      <c r="AQ31" s="82">
        <f>IF($A31=AS$20,'Construction Costs_2022'!$K$104+'Construction Costs_2022'!$K$7,0)</f>
        <v>0</v>
      </c>
      <c r="AR31" s="38">
        <f t="shared" si="39"/>
        <v>0</v>
      </c>
      <c r="AS31" s="38"/>
      <c r="AT31" s="45"/>
      <c r="AU31" s="46">
        <f t="shared" si="44"/>
        <v>0</v>
      </c>
      <c r="AV31" s="41">
        <f t="shared" si="19"/>
        <v>0</v>
      </c>
      <c r="AW31" s="41">
        <f t="shared" si="20"/>
        <v>0</v>
      </c>
      <c r="AX31" s="47">
        <f t="shared" si="21"/>
        <v>0</v>
      </c>
      <c r="AY31" s="47">
        <f t="shared" si="22"/>
        <v>0</v>
      </c>
      <c r="AZ31" s="92">
        <f t="shared" si="40"/>
        <v>0</v>
      </c>
      <c r="BA31" s="82">
        <f>IF($A31=BC$20,'Construction Costs_2022'!$K$104+'Construction Costs_2022'!$K$7,0)</f>
        <v>0</v>
      </c>
      <c r="BB31" s="38">
        <f t="shared" si="41"/>
        <v>0</v>
      </c>
      <c r="BC31" s="38"/>
      <c r="BD31" s="45"/>
      <c r="BE31" s="46">
        <f t="shared" si="45"/>
        <v>0</v>
      </c>
      <c r="BF31" s="41">
        <f t="shared" si="24"/>
        <v>0</v>
      </c>
      <c r="BG31" s="41">
        <f t="shared" si="25"/>
        <v>0</v>
      </c>
      <c r="BH31" s="47">
        <f t="shared" si="26"/>
        <v>0</v>
      </c>
      <c r="BI31" s="47">
        <f t="shared" si="27"/>
        <v>0</v>
      </c>
      <c r="BJ31" s="92">
        <f t="shared" si="42"/>
        <v>0</v>
      </c>
    </row>
    <row r="32" spans="1:62" s="3" customFormat="1" ht="12.75" x14ac:dyDescent="0.2">
      <c r="A32" s="12">
        <f t="shared" si="28"/>
        <v>7</v>
      </c>
      <c r="B32" s="13">
        <f t="shared" si="29"/>
        <v>0.78599096068381924</v>
      </c>
      <c r="C32" s="82">
        <f>IF($A32=E$20,'Construction Costs_2022'!$K$22+'Construction Costs_2022'!$K$7,0)</f>
        <v>0</v>
      </c>
      <c r="D32" s="38">
        <f t="shared" si="46"/>
        <v>28800</v>
      </c>
      <c r="E32" s="38"/>
      <c r="F32" s="45"/>
      <c r="G32" s="46">
        <f t="shared" si="7"/>
        <v>28800</v>
      </c>
      <c r="H32" s="41">
        <f t="shared" si="8"/>
        <v>0</v>
      </c>
      <c r="I32" s="41">
        <f t="shared" si="8"/>
        <v>22636.539667693993</v>
      </c>
      <c r="J32" s="47">
        <f t="shared" si="8"/>
        <v>0</v>
      </c>
      <c r="K32" s="47">
        <f t="shared" si="8"/>
        <v>0</v>
      </c>
      <c r="L32" s="92">
        <f t="shared" si="30"/>
        <v>22636.539667693993</v>
      </c>
      <c r="M32" s="91">
        <f>IF($A32=O$20,'Construction Costs_2022'!$K$43+'Construction Costs_2022'!$K$7,0)</f>
        <v>0</v>
      </c>
      <c r="N32" s="38">
        <f t="shared" si="31"/>
        <v>43200</v>
      </c>
      <c r="O32" s="38"/>
      <c r="P32" s="45"/>
      <c r="Q32" s="46">
        <f t="shared" si="32"/>
        <v>43200</v>
      </c>
      <c r="R32" s="41">
        <f t="shared" si="9"/>
        <v>0</v>
      </c>
      <c r="S32" s="41">
        <f t="shared" si="47"/>
        <v>33954.809501540993</v>
      </c>
      <c r="T32" s="47">
        <f t="shared" si="9"/>
        <v>0</v>
      </c>
      <c r="U32" s="47">
        <f t="shared" si="10"/>
        <v>0</v>
      </c>
      <c r="V32" s="92">
        <f t="shared" si="33"/>
        <v>33954.809501540993</v>
      </c>
      <c r="W32" s="82">
        <f>IF($A32=Y$20,'Construction Costs_2022'!$K$64+'Construction Costs_2022'!$K$7,0)</f>
        <v>0</v>
      </c>
      <c r="X32" s="38">
        <f t="shared" si="34"/>
        <v>86400</v>
      </c>
      <c r="Y32" s="38"/>
      <c r="Z32" s="45"/>
      <c r="AA32" s="46">
        <f t="shared" si="35"/>
        <v>86400</v>
      </c>
      <c r="AB32" s="41">
        <f t="shared" si="11"/>
        <v>0</v>
      </c>
      <c r="AC32" s="41">
        <f t="shared" si="11"/>
        <v>67909.619003081985</v>
      </c>
      <c r="AD32" s="47">
        <f t="shared" si="11"/>
        <v>0</v>
      </c>
      <c r="AE32" s="47">
        <f t="shared" si="12"/>
        <v>0</v>
      </c>
      <c r="AF32" s="92">
        <f t="shared" si="36"/>
        <v>67909.619003081985</v>
      </c>
      <c r="AG32" s="82">
        <f>IF($A32=AI$20,'Construction Costs_2022'!$K$84+'Construction Costs_2022'!$K$7,0)</f>
        <v>0</v>
      </c>
      <c r="AH32" s="38">
        <f t="shared" si="37"/>
        <v>100800</v>
      </c>
      <c r="AI32" s="38"/>
      <c r="AJ32" s="45"/>
      <c r="AK32" s="46">
        <f t="shared" si="43"/>
        <v>100800</v>
      </c>
      <c r="AL32" s="41">
        <f t="shared" si="14"/>
        <v>0</v>
      </c>
      <c r="AM32" s="41">
        <f t="shared" si="15"/>
        <v>79227.888836928978</v>
      </c>
      <c r="AN32" s="47">
        <f t="shared" si="16"/>
        <v>0</v>
      </c>
      <c r="AO32" s="47">
        <f t="shared" si="17"/>
        <v>0</v>
      </c>
      <c r="AP32" s="92">
        <f t="shared" si="38"/>
        <v>79227.888836928978</v>
      </c>
      <c r="AQ32" s="82">
        <f>IF($A32=AS$20,'Construction Costs_2022'!$K$104+'Construction Costs_2022'!$K$7,0)</f>
        <v>0</v>
      </c>
      <c r="AR32" s="38">
        <f t="shared" si="39"/>
        <v>57600</v>
      </c>
      <c r="AS32" s="38"/>
      <c r="AT32" s="45"/>
      <c r="AU32" s="46">
        <f t="shared" si="44"/>
        <v>57600</v>
      </c>
      <c r="AV32" s="41">
        <f t="shared" si="19"/>
        <v>0</v>
      </c>
      <c r="AW32" s="41">
        <f t="shared" si="20"/>
        <v>45273.079335387985</v>
      </c>
      <c r="AX32" s="47">
        <f t="shared" si="21"/>
        <v>0</v>
      </c>
      <c r="AY32" s="47">
        <f t="shared" si="22"/>
        <v>0</v>
      </c>
      <c r="AZ32" s="92">
        <f t="shared" si="40"/>
        <v>45273.079335387985</v>
      </c>
      <c r="BA32" s="82">
        <f>IF($A32=BC$20,'Construction Costs_2022'!$K$104+'Construction Costs_2022'!$K$7,0)</f>
        <v>0</v>
      </c>
      <c r="BB32" s="38">
        <f t="shared" si="41"/>
        <v>86400</v>
      </c>
      <c r="BC32" s="38"/>
      <c r="BD32" s="45"/>
      <c r="BE32" s="46">
        <f t="shared" si="45"/>
        <v>86400</v>
      </c>
      <c r="BF32" s="41">
        <f t="shared" si="24"/>
        <v>0</v>
      </c>
      <c r="BG32" s="41">
        <f t="shared" si="25"/>
        <v>67909.619003081985</v>
      </c>
      <c r="BH32" s="47">
        <f t="shared" si="26"/>
        <v>0</v>
      </c>
      <c r="BI32" s="47">
        <f t="shared" si="27"/>
        <v>0</v>
      </c>
      <c r="BJ32" s="92">
        <f t="shared" si="42"/>
        <v>67909.619003081985</v>
      </c>
    </row>
    <row r="33" spans="1:62" s="3" customFormat="1" ht="12.75" x14ac:dyDescent="0.2">
      <c r="A33" s="12">
        <f t="shared" si="28"/>
        <v>8</v>
      </c>
      <c r="B33" s="13">
        <f t="shared" si="29"/>
        <v>0.75941155621625056</v>
      </c>
      <c r="C33" s="82">
        <f>IF($A33=E$20,'Construction Costs_2022'!$K$22+'Construction Costs_2022'!$K$7,0)</f>
        <v>0</v>
      </c>
      <c r="D33" s="38">
        <f t="shared" si="46"/>
        <v>28800</v>
      </c>
      <c r="E33" s="38"/>
      <c r="F33" s="45"/>
      <c r="G33" s="46">
        <f t="shared" si="7"/>
        <v>28800</v>
      </c>
      <c r="H33" s="41">
        <f t="shared" si="8"/>
        <v>0</v>
      </c>
      <c r="I33" s="41">
        <f t="shared" si="8"/>
        <v>21871.052819028017</v>
      </c>
      <c r="J33" s="47">
        <f t="shared" si="8"/>
        <v>0</v>
      </c>
      <c r="K33" s="47">
        <f t="shared" si="8"/>
        <v>0</v>
      </c>
      <c r="L33" s="92">
        <f t="shared" si="30"/>
        <v>21871.052819028017</v>
      </c>
      <c r="M33" s="91">
        <f>IF($A33=O$20,'Construction Costs_2022'!$K$43+'Construction Costs_2022'!$K$7,0)</f>
        <v>0</v>
      </c>
      <c r="N33" s="38">
        <f t="shared" si="31"/>
        <v>43200</v>
      </c>
      <c r="O33" s="38"/>
      <c r="P33" s="45"/>
      <c r="Q33" s="46">
        <f t="shared" si="32"/>
        <v>43200</v>
      </c>
      <c r="R33" s="41">
        <f t="shared" si="9"/>
        <v>0</v>
      </c>
      <c r="S33" s="41">
        <f t="shared" si="47"/>
        <v>32806.579228542025</v>
      </c>
      <c r="T33" s="47">
        <f t="shared" si="9"/>
        <v>0</v>
      </c>
      <c r="U33" s="47">
        <f t="shared" si="10"/>
        <v>0</v>
      </c>
      <c r="V33" s="92">
        <f t="shared" si="33"/>
        <v>32806.579228542025</v>
      </c>
      <c r="W33" s="82">
        <f>IF($A33=Y$20,'Construction Costs_2022'!$K$64+'Construction Costs_2022'!$K$7,0)</f>
        <v>0</v>
      </c>
      <c r="X33" s="38">
        <f t="shared" si="34"/>
        <v>0</v>
      </c>
      <c r="Y33" s="38"/>
      <c r="Z33" s="45"/>
      <c r="AA33" s="46">
        <f t="shared" si="35"/>
        <v>0</v>
      </c>
      <c r="AB33" s="41">
        <f t="shared" si="11"/>
        <v>0</v>
      </c>
      <c r="AC33" s="41">
        <f t="shared" si="11"/>
        <v>0</v>
      </c>
      <c r="AD33" s="47">
        <f t="shared" si="11"/>
        <v>0</v>
      </c>
      <c r="AE33" s="47">
        <f t="shared" si="12"/>
        <v>0</v>
      </c>
      <c r="AF33" s="92">
        <f t="shared" si="36"/>
        <v>0</v>
      </c>
      <c r="AG33" s="82">
        <f>IF($A33=AI$20,'Construction Costs_2022'!$K$84+'Construction Costs_2022'!$K$7,0)</f>
        <v>0</v>
      </c>
      <c r="AH33" s="38">
        <f t="shared" si="37"/>
        <v>0</v>
      </c>
      <c r="AI33" s="38"/>
      <c r="AJ33" s="45"/>
      <c r="AK33" s="46">
        <f t="shared" si="43"/>
        <v>0</v>
      </c>
      <c r="AL33" s="41">
        <f t="shared" si="14"/>
        <v>0</v>
      </c>
      <c r="AM33" s="41">
        <f t="shared" si="15"/>
        <v>0</v>
      </c>
      <c r="AN33" s="47">
        <f t="shared" si="16"/>
        <v>0</v>
      </c>
      <c r="AO33" s="47">
        <f t="shared" si="17"/>
        <v>0</v>
      </c>
      <c r="AP33" s="92">
        <f t="shared" si="38"/>
        <v>0</v>
      </c>
      <c r="AQ33" s="82">
        <f>IF($A33=AS$20,'Construction Costs_2022'!$K$104+'Construction Costs_2022'!$K$7,0)</f>
        <v>0</v>
      </c>
      <c r="AR33" s="38">
        <f t="shared" si="39"/>
        <v>0</v>
      </c>
      <c r="AS33" s="38"/>
      <c r="AT33" s="45"/>
      <c r="AU33" s="46">
        <f t="shared" si="44"/>
        <v>0</v>
      </c>
      <c r="AV33" s="41">
        <f t="shared" si="19"/>
        <v>0</v>
      </c>
      <c r="AW33" s="41">
        <f t="shared" si="20"/>
        <v>0</v>
      </c>
      <c r="AX33" s="47">
        <f t="shared" si="21"/>
        <v>0</v>
      </c>
      <c r="AY33" s="47">
        <f t="shared" si="22"/>
        <v>0</v>
      </c>
      <c r="AZ33" s="92">
        <f t="shared" si="40"/>
        <v>0</v>
      </c>
      <c r="BA33" s="82">
        <f>IF($A33=BC$20,'Construction Costs_2022'!$K$104+'Construction Costs_2022'!$K$7,0)</f>
        <v>0</v>
      </c>
      <c r="BB33" s="38">
        <f t="shared" si="41"/>
        <v>0</v>
      </c>
      <c r="BC33" s="38"/>
      <c r="BD33" s="45"/>
      <c r="BE33" s="46">
        <f t="shared" si="45"/>
        <v>0</v>
      </c>
      <c r="BF33" s="41">
        <f t="shared" si="24"/>
        <v>0</v>
      </c>
      <c r="BG33" s="41">
        <f t="shared" si="25"/>
        <v>0</v>
      </c>
      <c r="BH33" s="47">
        <f t="shared" si="26"/>
        <v>0</v>
      </c>
      <c r="BI33" s="47">
        <f t="shared" si="27"/>
        <v>0</v>
      </c>
      <c r="BJ33" s="92">
        <f t="shared" si="42"/>
        <v>0</v>
      </c>
    </row>
    <row r="34" spans="1:62" s="3" customFormat="1" ht="12.75" x14ac:dyDescent="0.2">
      <c r="A34" s="12">
        <f t="shared" si="28"/>
        <v>9</v>
      </c>
      <c r="B34" s="13">
        <f t="shared" si="29"/>
        <v>0.73373097218961414</v>
      </c>
      <c r="C34" s="82">
        <f>IF($A34=E$20,'Construction Costs_2022'!$K$22+'Construction Costs_2022'!$K$7,0)</f>
        <v>0</v>
      </c>
      <c r="D34" s="38">
        <f t="shared" si="46"/>
        <v>28800</v>
      </c>
      <c r="E34" s="38"/>
      <c r="F34" s="45"/>
      <c r="G34" s="46">
        <f t="shared" si="7"/>
        <v>28800</v>
      </c>
      <c r="H34" s="41">
        <f t="shared" si="8"/>
        <v>0</v>
      </c>
      <c r="I34" s="41">
        <f t="shared" si="8"/>
        <v>21131.451999060886</v>
      </c>
      <c r="J34" s="47">
        <f t="shared" si="8"/>
        <v>0</v>
      </c>
      <c r="K34" s="47">
        <f t="shared" si="8"/>
        <v>0</v>
      </c>
      <c r="L34" s="92">
        <f t="shared" si="30"/>
        <v>21131.451999060886</v>
      </c>
      <c r="M34" s="91">
        <f>IF($A34=O$20,'Construction Costs_2022'!$K$43+'Construction Costs_2022'!$K$7,0)</f>
        <v>0</v>
      </c>
      <c r="N34" s="38">
        <f t="shared" si="31"/>
        <v>43200</v>
      </c>
      <c r="O34" s="38"/>
      <c r="P34" s="45"/>
      <c r="Q34" s="46">
        <f t="shared" si="32"/>
        <v>43200</v>
      </c>
      <c r="R34" s="41">
        <f t="shared" si="9"/>
        <v>0</v>
      </c>
      <c r="S34" s="41">
        <f t="shared" si="47"/>
        <v>31697.177998591331</v>
      </c>
      <c r="T34" s="47">
        <f t="shared" si="9"/>
        <v>0</v>
      </c>
      <c r="U34" s="47">
        <f t="shared" si="10"/>
        <v>0</v>
      </c>
      <c r="V34" s="92">
        <f t="shared" si="33"/>
        <v>31697.177998591331</v>
      </c>
      <c r="W34" s="82">
        <f>IF($A34=Y$20,'Construction Costs_2022'!$K$64+'Construction Costs_2022'!$K$7,0)</f>
        <v>0</v>
      </c>
      <c r="X34" s="38">
        <f t="shared" si="34"/>
        <v>0</v>
      </c>
      <c r="Y34" s="38"/>
      <c r="Z34" s="45"/>
      <c r="AA34" s="46">
        <f t="shared" si="35"/>
        <v>0</v>
      </c>
      <c r="AB34" s="41">
        <f t="shared" si="11"/>
        <v>0</v>
      </c>
      <c r="AC34" s="41">
        <f t="shared" si="11"/>
        <v>0</v>
      </c>
      <c r="AD34" s="47">
        <f t="shared" si="11"/>
        <v>0</v>
      </c>
      <c r="AE34" s="47">
        <f t="shared" si="12"/>
        <v>0</v>
      </c>
      <c r="AF34" s="92">
        <f t="shared" si="36"/>
        <v>0</v>
      </c>
      <c r="AG34" s="82">
        <f>IF($A34=AI$20,'Construction Costs_2022'!$K$84+'Construction Costs_2022'!$K$7,0)</f>
        <v>0</v>
      </c>
      <c r="AH34" s="38">
        <f t="shared" si="37"/>
        <v>0</v>
      </c>
      <c r="AI34" s="38"/>
      <c r="AJ34" s="45"/>
      <c r="AK34" s="46">
        <f t="shared" si="43"/>
        <v>0</v>
      </c>
      <c r="AL34" s="41">
        <f t="shared" si="14"/>
        <v>0</v>
      </c>
      <c r="AM34" s="41">
        <f t="shared" si="15"/>
        <v>0</v>
      </c>
      <c r="AN34" s="47">
        <f t="shared" si="16"/>
        <v>0</v>
      </c>
      <c r="AO34" s="47">
        <f t="shared" si="17"/>
        <v>0</v>
      </c>
      <c r="AP34" s="92">
        <f t="shared" si="38"/>
        <v>0</v>
      </c>
      <c r="AQ34" s="82">
        <f>IF($A34=AS$20,'Construction Costs_2022'!$K$104+'Construction Costs_2022'!$K$7,0)</f>
        <v>0</v>
      </c>
      <c r="AR34" s="38">
        <f t="shared" si="39"/>
        <v>0</v>
      </c>
      <c r="AS34" s="38"/>
      <c r="AT34" s="45"/>
      <c r="AU34" s="46">
        <f t="shared" si="44"/>
        <v>0</v>
      </c>
      <c r="AV34" s="41">
        <f t="shared" si="19"/>
        <v>0</v>
      </c>
      <c r="AW34" s="41">
        <f t="shared" si="20"/>
        <v>0</v>
      </c>
      <c r="AX34" s="47">
        <f t="shared" si="21"/>
        <v>0</v>
      </c>
      <c r="AY34" s="47">
        <f t="shared" si="22"/>
        <v>0</v>
      </c>
      <c r="AZ34" s="92">
        <f t="shared" si="40"/>
        <v>0</v>
      </c>
      <c r="BA34" s="82">
        <f>IF($A34=BC$20,'Construction Costs_2022'!$K$104+'Construction Costs_2022'!$K$7,0)</f>
        <v>0</v>
      </c>
      <c r="BB34" s="38">
        <f t="shared" si="41"/>
        <v>0</v>
      </c>
      <c r="BC34" s="38"/>
      <c r="BD34" s="45"/>
      <c r="BE34" s="46">
        <f t="shared" si="45"/>
        <v>0</v>
      </c>
      <c r="BF34" s="41">
        <f t="shared" si="24"/>
        <v>0</v>
      </c>
      <c r="BG34" s="41">
        <f t="shared" si="25"/>
        <v>0</v>
      </c>
      <c r="BH34" s="47">
        <f t="shared" si="26"/>
        <v>0</v>
      </c>
      <c r="BI34" s="47">
        <f t="shared" si="27"/>
        <v>0</v>
      </c>
      <c r="BJ34" s="92">
        <f t="shared" si="42"/>
        <v>0</v>
      </c>
    </row>
    <row r="35" spans="1:62" s="3" customFormat="1" ht="12.75" x14ac:dyDescent="0.2">
      <c r="A35" s="12">
        <f t="shared" si="28"/>
        <v>10</v>
      </c>
      <c r="B35" s="13">
        <f t="shared" si="29"/>
        <v>0.70891881370977217</v>
      </c>
      <c r="C35" s="82">
        <f>IF($A35=E$20,'Construction Costs_2022'!$K$22+'Construction Costs_2022'!$K$7,0)</f>
        <v>0</v>
      </c>
      <c r="D35" s="38">
        <f t="shared" si="46"/>
        <v>28800</v>
      </c>
      <c r="E35" s="38"/>
      <c r="F35" s="45"/>
      <c r="G35" s="46">
        <f t="shared" si="7"/>
        <v>28800</v>
      </c>
      <c r="H35" s="41">
        <f t="shared" si="8"/>
        <v>0</v>
      </c>
      <c r="I35" s="41">
        <f t="shared" si="8"/>
        <v>20416.861834841438</v>
      </c>
      <c r="J35" s="47">
        <f t="shared" si="8"/>
        <v>0</v>
      </c>
      <c r="K35" s="47">
        <f t="shared" si="8"/>
        <v>0</v>
      </c>
      <c r="L35" s="92">
        <f t="shared" si="30"/>
        <v>20416.861834841438</v>
      </c>
      <c r="M35" s="91">
        <f>IF($A35=O$20,'Construction Costs_2022'!$K$43+'Construction Costs_2022'!$K$7,0)</f>
        <v>0</v>
      </c>
      <c r="N35" s="38">
        <f t="shared" si="31"/>
        <v>43200</v>
      </c>
      <c r="O35" s="38"/>
      <c r="P35" s="45"/>
      <c r="Q35" s="46">
        <f t="shared" si="32"/>
        <v>43200</v>
      </c>
      <c r="R35" s="41">
        <f t="shared" si="9"/>
        <v>0</v>
      </c>
      <c r="S35" s="41">
        <f t="shared" si="47"/>
        <v>30625.292752262158</v>
      </c>
      <c r="T35" s="47">
        <f t="shared" si="9"/>
        <v>0</v>
      </c>
      <c r="U35" s="47">
        <f t="shared" si="10"/>
        <v>0</v>
      </c>
      <c r="V35" s="92">
        <f t="shared" si="33"/>
        <v>30625.292752262158</v>
      </c>
      <c r="W35" s="82">
        <f>IF($A35=Y$20,'Construction Costs_2022'!$K$64+'Construction Costs_2022'!$K$7,0)</f>
        <v>0</v>
      </c>
      <c r="X35" s="38">
        <f t="shared" si="34"/>
        <v>0</v>
      </c>
      <c r="Y35" s="38"/>
      <c r="Z35" s="45"/>
      <c r="AA35" s="46">
        <f t="shared" si="35"/>
        <v>0</v>
      </c>
      <c r="AB35" s="41">
        <f t="shared" si="11"/>
        <v>0</v>
      </c>
      <c r="AC35" s="41">
        <f t="shared" si="11"/>
        <v>0</v>
      </c>
      <c r="AD35" s="47">
        <f t="shared" si="11"/>
        <v>0</v>
      </c>
      <c r="AE35" s="47">
        <f t="shared" si="12"/>
        <v>0</v>
      </c>
      <c r="AF35" s="92">
        <f t="shared" si="36"/>
        <v>0</v>
      </c>
      <c r="AG35" s="82">
        <f>IF($A35=AI$20,'Construction Costs_2022'!$K$84+'Construction Costs_2022'!$K$7,0)</f>
        <v>0</v>
      </c>
      <c r="AH35" s="38">
        <f t="shared" si="37"/>
        <v>0</v>
      </c>
      <c r="AI35" s="38"/>
      <c r="AJ35" s="45"/>
      <c r="AK35" s="46">
        <f t="shared" si="43"/>
        <v>0</v>
      </c>
      <c r="AL35" s="41">
        <f t="shared" si="14"/>
        <v>0</v>
      </c>
      <c r="AM35" s="41">
        <f t="shared" si="15"/>
        <v>0</v>
      </c>
      <c r="AN35" s="47">
        <f t="shared" si="16"/>
        <v>0</v>
      </c>
      <c r="AO35" s="47">
        <f t="shared" si="17"/>
        <v>0</v>
      </c>
      <c r="AP35" s="92">
        <f t="shared" si="38"/>
        <v>0</v>
      </c>
      <c r="AQ35" s="82">
        <f>IF($A35=AS$20,'Construction Costs_2022'!$K$104+'Construction Costs_2022'!$K$7,0)</f>
        <v>0</v>
      </c>
      <c r="AR35" s="38">
        <f t="shared" si="39"/>
        <v>0</v>
      </c>
      <c r="AS35" s="38"/>
      <c r="AT35" s="45"/>
      <c r="AU35" s="46">
        <f t="shared" si="44"/>
        <v>0</v>
      </c>
      <c r="AV35" s="41">
        <f t="shared" si="19"/>
        <v>0</v>
      </c>
      <c r="AW35" s="41">
        <f t="shared" si="20"/>
        <v>0</v>
      </c>
      <c r="AX35" s="47">
        <f t="shared" si="21"/>
        <v>0</v>
      </c>
      <c r="AY35" s="47">
        <f t="shared" si="22"/>
        <v>0</v>
      </c>
      <c r="AZ35" s="92">
        <f t="shared" si="40"/>
        <v>0</v>
      </c>
      <c r="BA35" s="82">
        <f>IF($A35=BC$20,'Construction Costs_2022'!$K$104+'Construction Costs_2022'!$K$7,0)</f>
        <v>0</v>
      </c>
      <c r="BB35" s="38">
        <f t="shared" si="41"/>
        <v>0</v>
      </c>
      <c r="BC35" s="38"/>
      <c r="BD35" s="45"/>
      <c r="BE35" s="46">
        <f t="shared" si="45"/>
        <v>0</v>
      </c>
      <c r="BF35" s="41">
        <f t="shared" si="24"/>
        <v>0</v>
      </c>
      <c r="BG35" s="41">
        <f t="shared" si="25"/>
        <v>0</v>
      </c>
      <c r="BH35" s="47">
        <f t="shared" si="26"/>
        <v>0</v>
      </c>
      <c r="BI35" s="47">
        <f t="shared" si="27"/>
        <v>0</v>
      </c>
      <c r="BJ35" s="92">
        <f t="shared" si="42"/>
        <v>0</v>
      </c>
    </row>
    <row r="36" spans="1:62" s="3" customFormat="1" ht="12.75" x14ac:dyDescent="0.2">
      <c r="A36" s="12">
        <f t="shared" si="28"/>
        <v>11</v>
      </c>
      <c r="B36" s="13">
        <f t="shared" si="29"/>
        <v>0.68494571372924851</v>
      </c>
      <c r="C36" s="82">
        <f>IF($A36=E$20,'Construction Costs_2022'!$K$22+'Construction Costs_2022'!$K$7,0)</f>
        <v>0</v>
      </c>
      <c r="D36" s="38">
        <f t="shared" si="46"/>
        <v>28800</v>
      </c>
      <c r="E36" s="38"/>
      <c r="F36" s="45"/>
      <c r="G36" s="46">
        <f t="shared" si="7"/>
        <v>28800</v>
      </c>
      <c r="H36" s="41">
        <f t="shared" si="8"/>
        <v>0</v>
      </c>
      <c r="I36" s="41">
        <f t="shared" si="8"/>
        <v>19726.436555402357</v>
      </c>
      <c r="J36" s="47">
        <f t="shared" si="8"/>
        <v>0</v>
      </c>
      <c r="K36" s="47">
        <f t="shared" si="8"/>
        <v>0</v>
      </c>
      <c r="L36" s="92">
        <f t="shared" si="30"/>
        <v>19726.436555402357</v>
      </c>
      <c r="M36" s="91">
        <f>IF($A36=O$20,'Construction Costs_2022'!$K$43+'Construction Costs_2022'!$K$7,0)</f>
        <v>0</v>
      </c>
      <c r="N36" s="38">
        <f t="shared" si="31"/>
        <v>43200</v>
      </c>
      <c r="O36" s="38"/>
      <c r="P36" s="45"/>
      <c r="Q36" s="46">
        <f t="shared" si="32"/>
        <v>43200</v>
      </c>
      <c r="R36" s="41">
        <f t="shared" si="9"/>
        <v>0</v>
      </c>
      <c r="S36" s="41">
        <f t="shared" si="47"/>
        <v>29589.654833103534</v>
      </c>
      <c r="T36" s="47">
        <f t="shared" si="9"/>
        <v>0</v>
      </c>
      <c r="U36" s="47">
        <f t="shared" si="10"/>
        <v>0</v>
      </c>
      <c r="V36" s="92">
        <f t="shared" si="33"/>
        <v>29589.654833103534</v>
      </c>
      <c r="W36" s="82">
        <f>IF($A36=Y$20,'Construction Costs_2022'!$K$64+'Construction Costs_2022'!$K$7,0)</f>
        <v>0</v>
      </c>
      <c r="X36" s="38">
        <f t="shared" si="34"/>
        <v>0</v>
      </c>
      <c r="Y36" s="38"/>
      <c r="Z36" s="45"/>
      <c r="AA36" s="46">
        <f t="shared" si="35"/>
        <v>0</v>
      </c>
      <c r="AB36" s="41">
        <f t="shared" si="11"/>
        <v>0</v>
      </c>
      <c r="AC36" s="41">
        <f t="shared" si="11"/>
        <v>0</v>
      </c>
      <c r="AD36" s="47">
        <f t="shared" si="11"/>
        <v>0</v>
      </c>
      <c r="AE36" s="47">
        <f t="shared" si="12"/>
        <v>0</v>
      </c>
      <c r="AF36" s="92">
        <f t="shared" si="36"/>
        <v>0</v>
      </c>
      <c r="AG36" s="82">
        <f>IF($A36=AI$20,'Construction Costs_2022'!$K$84+'Construction Costs_2022'!$K$7,0)</f>
        <v>0</v>
      </c>
      <c r="AH36" s="38">
        <f t="shared" si="37"/>
        <v>0</v>
      </c>
      <c r="AI36" s="38"/>
      <c r="AJ36" s="45"/>
      <c r="AK36" s="46">
        <f t="shared" si="43"/>
        <v>0</v>
      </c>
      <c r="AL36" s="41">
        <f t="shared" si="14"/>
        <v>0</v>
      </c>
      <c r="AM36" s="41">
        <f t="shared" si="15"/>
        <v>0</v>
      </c>
      <c r="AN36" s="47">
        <f t="shared" si="16"/>
        <v>0</v>
      </c>
      <c r="AO36" s="47">
        <f t="shared" si="17"/>
        <v>0</v>
      </c>
      <c r="AP36" s="92">
        <f t="shared" si="38"/>
        <v>0</v>
      </c>
      <c r="AQ36" s="82">
        <f>IF($A36=AS$20,'Construction Costs_2022'!$K$104+'Construction Costs_2022'!$K$7,0)</f>
        <v>0</v>
      </c>
      <c r="AR36" s="38">
        <f t="shared" si="39"/>
        <v>0</v>
      </c>
      <c r="AS36" s="38"/>
      <c r="AT36" s="45"/>
      <c r="AU36" s="46">
        <f t="shared" si="44"/>
        <v>0</v>
      </c>
      <c r="AV36" s="41">
        <f t="shared" si="19"/>
        <v>0</v>
      </c>
      <c r="AW36" s="41">
        <f t="shared" si="20"/>
        <v>0</v>
      </c>
      <c r="AX36" s="47">
        <f t="shared" si="21"/>
        <v>0</v>
      </c>
      <c r="AY36" s="47">
        <f t="shared" si="22"/>
        <v>0</v>
      </c>
      <c r="AZ36" s="92">
        <f t="shared" si="40"/>
        <v>0</v>
      </c>
      <c r="BA36" s="82">
        <f>IF($A36=BC$20,'Construction Costs_2022'!$K$104+'Construction Costs_2022'!$K$7,0)</f>
        <v>0</v>
      </c>
      <c r="BB36" s="38">
        <f t="shared" si="41"/>
        <v>0</v>
      </c>
      <c r="BC36" s="38"/>
      <c r="BD36" s="45"/>
      <c r="BE36" s="46">
        <f t="shared" si="45"/>
        <v>0</v>
      </c>
      <c r="BF36" s="41">
        <f t="shared" si="24"/>
        <v>0</v>
      </c>
      <c r="BG36" s="41">
        <f t="shared" si="25"/>
        <v>0</v>
      </c>
      <c r="BH36" s="47">
        <f t="shared" si="26"/>
        <v>0</v>
      </c>
      <c r="BI36" s="47">
        <f t="shared" si="27"/>
        <v>0</v>
      </c>
      <c r="BJ36" s="92">
        <f t="shared" si="42"/>
        <v>0</v>
      </c>
    </row>
    <row r="37" spans="1:62" s="3" customFormat="1" ht="12.75" x14ac:dyDescent="0.2">
      <c r="A37" s="12">
        <f t="shared" si="28"/>
        <v>12</v>
      </c>
      <c r="B37" s="13">
        <f t="shared" si="29"/>
        <v>0.66178329828912907</v>
      </c>
      <c r="C37" s="82">
        <f>IF($A37=E$20,'Construction Costs_2022'!$K$22+'Construction Costs_2022'!$K$7,0)</f>
        <v>0</v>
      </c>
      <c r="D37" s="38">
        <f t="shared" si="46"/>
        <v>1301900</v>
      </c>
      <c r="E37" s="38"/>
      <c r="F37" s="45"/>
      <c r="G37" s="46">
        <f t="shared" si="7"/>
        <v>1301900</v>
      </c>
      <c r="H37" s="41">
        <f t="shared" si="8"/>
        <v>0</v>
      </c>
      <c r="I37" s="41">
        <f t="shared" si="8"/>
        <v>861575.67604261718</v>
      </c>
      <c r="J37" s="47">
        <f t="shared" si="8"/>
        <v>0</v>
      </c>
      <c r="K37" s="47">
        <f t="shared" si="8"/>
        <v>0</v>
      </c>
      <c r="L37" s="92">
        <f t="shared" si="30"/>
        <v>861575.67604261718</v>
      </c>
      <c r="M37" s="91">
        <f>IF($A37=O$20,'Construction Costs_2022'!$K$43+'Construction Costs_2022'!$K$7,0)</f>
        <v>0</v>
      </c>
      <c r="N37" s="38">
        <f t="shared" si="31"/>
        <v>1207840</v>
      </c>
      <c r="O37" s="38"/>
      <c r="P37" s="45"/>
      <c r="Q37" s="46">
        <f t="shared" si="32"/>
        <v>1207840</v>
      </c>
      <c r="R37" s="41">
        <f t="shared" si="9"/>
        <v>0</v>
      </c>
      <c r="S37" s="41">
        <f t="shared" si="47"/>
        <v>799328.33900554164</v>
      </c>
      <c r="T37" s="47">
        <f t="shared" si="9"/>
        <v>0</v>
      </c>
      <c r="U37" s="47">
        <f t="shared" si="10"/>
        <v>0</v>
      </c>
      <c r="V37" s="92">
        <f t="shared" si="33"/>
        <v>799328.33900554164</v>
      </c>
      <c r="W37" s="82">
        <f>IF($A37=Y$20,'Construction Costs_2022'!$K$64+'Construction Costs_2022'!$K$7,0)</f>
        <v>0</v>
      </c>
      <c r="X37" s="38">
        <f t="shared" si="34"/>
        <v>919280</v>
      </c>
      <c r="Y37" s="38"/>
      <c r="Z37" s="45"/>
      <c r="AA37" s="46">
        <f t="shared" si="35"/>
        <v>919280</v>
      </c>
      <c r="AB37" s="41">
        <f t="shared" si="11"/>
        <v>0</v>
      </c>
      <c r="AC37" s="41">
        <f t="shared" si="11"/>
        <v>608364.15045123058</v>
      </c>
      <c r="AD37" s="47">
        <f t="shared" si="11"/>
        <v>0</v>
      </c>
      <c r="AE37" s="47">
        <f t="shared" si="12"/>
        <v>0</v>
      </c>
      <c r="AF37" s="92">
        <f t="shared" si="36"/>
        <v>608364.15045123058</v>
      </c>
      <c r="AG37" s="82">
        <f>IF($A37=AI$20,'Construction Costs_2022'!$K$84+'Construction Costs_2022'!$K$7,0)</f>
        <v>0</v>
      </c>
      <c r="AH37" s="38">
        <f t="shared" si="37"/>
        <v>876260</v>
      </c>
      <c r="AI37" s="38"/>
      <c r="AJ37" s="45"/>
      <c r="AK37" s="46">
        <f t="shared" si="43"/>
        <v>876260</v>
      </c>
      <c r="AL37" s="41">
        <f t="shared" si="14"/>
        <v>0</v>
      </c>
      <c r="AM37" s="41">
        <f t="shared" si="15"/>
        <v>579894.23295883229</v>
      </c>
      <c r="AN37" s="47">
        <f t="shared" si="16"/>
        <v>0</v>
      </c>
      <c r="AO37" s="47">
        <f t="shared" si="17"/>
        <v>0</v>
      </c>
      <c r="AP37" s="92">
        <f t="shared" si="38"/>
        <v>579894.23295883229</v>
      </c>
      <c r="AQ37" s="82">
        <f>IF($A37=AS$20,'Construction Costs_2022'!$K$104+'Construction Costs_2022'!$K$7,0)</f>
        <v>0</v>
      </c>
      <c r="AR37" s="38">
        <f t="shared" si="39"/>
        <v>1005320</v>
      </c>
      <c r="AS37" s="38"/>
      <c r="AT37" s="45"/>
      <c r="AU37" s="46">
        <f t="shared" si="44"/>
        <v>1005320</v>
      </c>
      <c r="AV37" s="41">
        <f t="shared" si="19"/>
        <v>0</v>
      </c>
      <c r="AW37" s="41">
        <f t="shared" si="20"/>
        <v>665303.98543602729</v>
      </c>
      <c r="AX37" s="47">
        <f t="shared" si="21"/>
        <v>0</v>
      </c>
      <c r="AY37" s="47">
        <f t="shared" si="22"/>
        <v>0</v>
      </c>
      <c r="AZ37" s="92">
        <f t="shared" si="40"/>
        <v>665303.98543602729</v>
      </c>
      <c r="BA37" s="82">
        <f>IF($A37=BC$20,'Construction Costs_2022'!$K$104+'Construction Costs_2022'!$K$7,0)</f>
        <v>0</v>
      </c>
      <c r="BB37" s="38">
        <f t="shared" si="41"/>
        <v>201530</v>
      </c>
      <c r="BC37" s="38"/>
      <c r="BD37" s="45"/>
      <c r="BE37" s="46">
        <f t="shared" si="45"/>
        <v>201530</v>
      </c>
      <c r="BF37" s="41">
        <f t="shared" si="24"/>
        <v>0</v>
      </c>
      <c r="BG37" s="41">
        <f t="shared" si="25"/>
        <v>133369.18810420818</v>
      </c>
      <c r="BH37" s="47">
        <f t="shared" si="26"/>
        <v>0</v>
      </c>
      <c r="BI37" s="47">
        <f t="shared" si="27"/>
        <v>0</v>
      </c>
      <c r="BJ37" s="92">
        <f t="shared" si="42"/>
        <v>133369.18810420818</v>
      </c>
    </row>
    <row r="38" spans="1:62" s="3" customFormat="1" ht="12.75" x14ac:dyDescent="0.2">
      <c r="A38" s="12">
        <f t="shared" si="28"/>
        <v>13</v>
      </c>
      <c r="B38" s="13">
        <f t="shared" si="29"/>
        <v>0.63940415293635666</v>
      </c>
      <c r="C38" s="82">
        <f>IF($A38=E$20,'Construction Costs_2022'!$K$22+'Construction Costs_2022'!$K$7,0)</f>
        <v>0</v>
      </c>
      <c r="D38" s="38">
        <f t="shared" si="46"/>
        <v>28800</v>
      </c>
      <c r="E38" s="38"/>
      <c r="F38" s="45"/>
      <c r="G38" s="46">
        <f t="shared" si="7"/>
        <v>28800</v>
      </c>
      <c r="H38" s="41">
        <f t="shared" si="8"/>
        <v>0</v>
      </c>
      <c r="I38" s="41">
        <f t="shared" si="8"/>
        <v>18414.839604567071</v>
      </c>
      <c r="J38" s="47">
        <f t="shared" si="8"/>
        <v>0</v>
      </c>
      <c r="K38" s="47">
        <f t="shared" si="8"/>
        <v>0</v>
      </c>
      <c r="L38" s="92">
        <f t="shared" si="30"/>
        <v>18414.839604567071</v>
      </c>
      <c r="M38" s="91">
        <f>IF($A38=O$20,'Construction Costs_2022'!$K$43+'Construction Costs_2022'!$K$7,0)</f>
        <v>0</v>
      </c>
      <c r="N38" s="38">
        <f t="shared" si="31"/>
        <v>43200</v>
      </c>
      <c r="O38" s="38"/>
      <c r="P38" s="45"/>
      <c r="Q38" s="46">
        <f t="shared" si="32"/>
        <v>43200</v>
      </c>
      <c r="R38" s="41">
        <f t="shared" si="9"/>
        <v>0</v>
      </c>
      <c r="S38" s="41">
        <f t="shared" si="47"/>
        <v>27622.259406850608</v>
      </c>
      <c r="T38" s="47">
        <f t="shared" ref="T38:T101" si="48">O39*$B38</f>
        <v>0</v>
      </c>
      <c r="U38" s="47">
        <f t="shared" si="10"/>
        <v>0</v>
      </c>
      <c r="V38" s="92">
        <f t="shared" si="33"/>
        <v>27622.259406850608</v>
      </c>
      <c r="W38" s="82">
        <f>IF($A38=Y$20,'Construction Costs_2022'!$K$64+'Construction Costs_2022'!$K$7,0)</f>
        <v>0</v>
      </c>
      <c r="X38" s="38">
        <f t="shared" si="34"/>
        <v>0</v>
      </c>
      <c r="Y38" s="38"/>
      <c r="Z38" s="45"/>
      <c r="AA38" s="46">
        <f t="shared" si="35"/>
        <v>0</v>
      </c>
      <c r="AB38" s="41">
        <f t="shared" si="11"/>
        <v>0</v>
      </c>
      <c r="AC38" s="41">
        <f t="shared" si="11"/>
        <v>0</v>
      </c>
      <c r="AD38" s="47">
        <f t="shared" si="11"/>
        <v>0</v>
      </c>
      <c r="AE38" s="47">
        <f t="shared" si="12"/>
        <v>0</v>
      </c>
      <c r="AF38" s="92">
        <f t="shared" si="36"/>
        <v>0</v>
      </c>
      <c r="AG38" s="82">
        <f>IF($A38=AI$20,'Construction Costs_2022'!$K$84+'Construction Costs_2022'!$K$7,0)</f>
        <v>0</v>
      </c>
      <c r="AH38" s="38">
        <f t="shared" si="37"/>
        <v>0</v>
      </c>
      <c r="AI38" s="38"/>
      <c r="AJ38" s="45"/>
      <c r="AK38" s="46">
        <f t="shared" si="43"/>
        <v>0</v>
      </c>
      <c r="AL38" s="41">
        <f t="shared" si="14"/>
        <v>0</v>
      </c>
      <c r="AM38" s="41">
        <f t="shared" si="15"/>
        <v>0</v>
      </c>
      <c r="AN38" s="47">
        <f t="shared" si="16"/>
        <v>0</v>
      </c>
      <c r="AO38" s="47">
        <f t="shared" si="17"/>
        <v>0</v>
      </c>
      <c r="AP38" s="92">
        <f t="shared" si="38"/>
        <v>0</v>
      </c>
      <c r="AQ38" s="82">
        <f>IF($A38=AS$20,'Construction Costs_2022'!$K$104+'Construction Costs_2022'!$K$7,0)</f>
        <v>0</v>
      </c>
      <c r="AR38" s="38">
        <f t="shared" si="39"/>
        <v>0</v>
      </c>
      <c r="AS38" s="38"/>
      <c r="AT38" s="45"/>
      <c r="AU38" s="46">
        <f t="shared" si="44"/>
        <v>0</v>
      </c>
      <c r="AV38" s="41">
        <f t="shared" si="19"/>
        <v>0</v>
      </c>
      <c r="AW38" s="41">
        <f t="shared" si="20"/>
        <v>0</v>
      </c>
      <c r="AX38" s="47">
        <f t="shared" si="21"/>
        <v>0</v>
      </c>
      <c r="AY38" s="47">
        <f t="shared" si="22"/>
        <v>0</v>
      </c>
      <c r="AZ38" s="92">
        <f t="shared" si="40"/>
        <v>0</v>
      </c>
      <c r="BA38" s="82">
        <f>IF($A38=BC$20,'Construction Costs_2022'!$K$104+'Construction Costs_2022'!$K$7,0)</f>
        <v>0</v>
      </c>
      <c r="BB38" s="38">
        <f t="shared" si="41"/>
        <v>0</v>
      </c>
      <c r="BC38" s="38"/>
      <c r="BD38" s="45"/>
      <c r="BE38" s="46">
        <f t="shared" si="45"/>
        <v>0</v>
      </c>
      <c r="BF38" s="41">
        <f t="shared" si="24"/>
        <v>0</v>
      </c>
      <c r="BG38" s="41">
        <f t="shared" si="25"/>
        <v>0</v>
      </c>
      <c r="BH38" s="47">
        <f t="shared" si="26"/>
        <v>0</v>
      </c>
      <c r="BI38" s="47">
        <f t="shared" si="27"/>
        <v>0</v>
      </c>
      <c r="BJ38" s="92">
        <f t="shared" si="42"/>
        <v>0</v>
      </c>
    </row>
    <row r="39" spans="1:62" s="3" customFormat="1" ht="12.75" x14ac:dyDescent="0.2">
      <c r="A39" s="12">
        <f t="shared" si="28"/>
        <v>14</v>
      </c>
      <c r="B39" s="13">
        <f t="shared" si="29"/>
        <v>0.61778179027667313</v>
      </c>
      <c r="C39" s="82">
        <f>IF($A39=E$20,'Construction Costs_2022'!$K$22+'Construction Costs_2022'!$K$7,0)</f>
        <v>0</v>
      </c>
      <c r="D39" s="38">
        <f t="shared" si="46"/>
        <v>28800</v>
      </c>
      <c r="E39" s="38"/>
      <c r="F39" s="45"/>
      <c r="G39" s="46">
        <f t="shared" si="7"/>
        <v>28800</v>
      </c>
      <c r="H39" s="41">
        <f t="shared" si="8"/>
        <v>0</v>
      </c>
      <c r="I39" s="41">
        <f t="shared" si="8"/>
        <v>17792.115559968184</v>
      </c>
      <c r="J39" s="47">
        <f t="shared" si="8"/>
        <v>0</v>
      </c>
      <c r="K39" s="47">
        <f t="shared" si="8"/>
        <v>0</v>
      </c>
      <c r="L39" s="92">
        <f t="shared" si="30"/>
        <v>17792.115559968184</v>
      </c>
      <c r="M39" s="91">
        <f>IF($A39=O$20,'Construction Costs_2022'!$K$43+'Construction Costs_2022'!$K$7,0)</f>
        <v>0</v>
      </c>
      <c r="N39" s="38">
        <f t="shared" si="31"/>
        <v>43200</v>
      </c>
      <c r="O39" s="38"/>
      <c r="P39" s="45"/>
      <c r="Q39" s="46">
        <f t="shared" si="32"/>
        <v>43200</v>
      </c>
      <c r="R39" s="41">
        <f t="shared" si="9"/>
        <v>0</v>
      </c>
      <c r="S39" s="41">
        <f t="shared" si="47"/>
        <v>26688.173339952278</v>
      </c>
      <c r="T39" s="47">
        <f t="shared" si="48"/>
        <v>0</v>
      </c>
      <c r="U39" s="47">
        <f t="shared" si="10"/>
        <v>0</v>
      </c>
      <c r="V39" s="92">
        <f t="shared" si="33"/>
        <v>26688.173339952278</v>
      </c>
      <c r="W39" s="82">
        <f>IF($A39=Y$20,'Construction Costs_2022'!$K$64+'Construction Costs_2022'!$K$7,0)</f>
        <v>0</v>
      </c>
      <c r="X39" s="38">
        <f t="shared" si="34"/>
        <v>0</v>
      </c>
      <c r="Y39" s="38"/>
      <c r="Z39" s="45"/>
      <c r="AA39" s="46">
        <f t="shared" si="35"/>
        <v>0</v>
      </c>
      <c r="AB39" s="41">
        <f t="shared" si="11"/>
        <v>0</v>
      </c>
      <c r="AC39" s="41">
        <f t="shared" si="11"/>
        <v>0</v>
      </c>
      <c r="AD39" s="47">
        <f t="shared" si="11"/>
        <v>0</v>
      </c>
      <c r="AE39" s="47">
        <f t="shared" si="12"/>
        <v>0</v>
      </c>
      <c r="AF39" s="92">
        <f t="shared" si="36"/>
        <v>0</v>
      </c>
      <c r="AG39" s="82">
        <f>IF($A39=AI$20,'Construction Costs_2022'!$K$84+'Construction Costs_2022'!$K$7,0)</f>
        <v>0</v>
      </c>
      <c r="AH39" s="38">
        <f t="shared" si="37"/>
        <v>0</v>
      </c>
      <c r="AI39" s="38"/>
      <c r="AJ39" s="45"/>
      <c r="AK39" s="46">
        <f t="shared" si="43"/>
        <v>0</v>
      </c>
      <c r="AL39" s="41">
        <f t="shared" si="14"/>
        <v>0</v>
      </c>
      <c r="AM39" s="41">
        <f t="shared" si="15"/>
        <v>0</v>
      </c>
      <c r="AN39" s="47">
        <f t="shared" si="16"/>
        <v>0</v>
      </c>
      <c r="AO39" s="47">
        <f t="shared" si="17"/>
        <v>0</v>
      </c>
      <c r="AP39" s="92">
        <f t="shared" si="38"/>
        <v>0</v>
      </c>
      <c r="AQ39" s="82">
        <f>IF($A39=AS$20,'Construction Costs_2022'!$K$104+'Construction Costs_2022'!$K$7,0)</f>
        <v>0</v>
      </c>
      <c r="AR39" s="38">
        <f t="shared" si="39"/>
        <v>0</v>
      </c>
      <c r="AS39" s="38"/>
      <c r="AT39" s="45"/>
      <c r="AU39" s="46">
        <f t="shared" si="44"/>
        <v>0</v>
      </c>
      <c r="AV39" s="41">
        <f t="shared" si="19"/>
        <v>0</v>
      </c>
      <c r="AW39" s="41">
        <f t="shared" si="20"/>
        <v>0</v>
      </c>
      <c r="AX39" s="47">
        <f t="shared" si="21"/>
        <v>0</v>
      </c>
      <c r="AY39" s="47">
        <f t="shared" si="22"/>
        <v>0</v>
      </c>
      <c r="AZ39" s="92">
        <f t="shared" si="40"/>
        <v>0</v>
      </c>
      <c r="BA39" s="82">
        <f>IF($A39=BC$20,'Construction Costs_2022'!$K$104+'Construction Costs_2022'!$K$7,0)</f>
        <v>0</v>
      </c>
      <c r="BB39" s="38">
        <f t="shared" si="41"/>
        <v>0</v>
      </c>
      <c r="BC39" s="38"/>
      <c r="BD39" s="45"/>
      <c r="BE39" s="46">
        <f t="shared" si="45"/>
        <v>0</v>
      </c>
      <c r="BF39" s="41">
        <f t="shared" si="24"/>
        <v>0</v>
      </c>
      <c r="BG39" s="41">
        <f t="shared" si="25"/>
        <v>0</v>
      </c>
      <c r="BH39" s="47">
        <f t="shared" si="26"/>
        <v>0</v>
      </c>
      <c r="BI39" s="47">
        <f t="shared" si="27"/>
        <v>0</v>
      </c>
      <c r="BJ39" s="92">
        <f t="shared" si="42"/>
        <v>0</v>
      </c>
    </row>
    <row r="40" spans="1:62" s="3" customFormat="1" ht="12.75" x14ac:dyDescent="0.2">
      <c r="A40" s="12">
        <f t="shared" si="28"/>
        <v>15</v>
      </c>
      <c r="B40" s="13">
        <f t="shared" si="29"/>
        <v>0.59689061862480497</v>
      </c>
      <c r="C40" s="82">
        <f>IF($A40=E$20,'Construction Costs_2022'!$K$22+'Construction Costs_2022'!$K$7,0)</f>
        <v>0</v>
      </c>
      <c r="D40" s="38">
        <f t="shared" si="46"/>
        <v>28800</v>
      </c>
      <c r="E40" s="38"/>
      <c r="F40" s="45"/>
      <c r="G40" s="46">
        <f t="shared" si="7"/>
        <v>28800</v>
      </c>
      <c r="H40" s="41">
        <f t="shared" si="8"/>
        <v>0</v>
      </c>
      <c r="I40" s="41">
        <f t="shared" si="8"/>
        <v>17190.449816394383</v>
      </c>
      <c r="J40" s="47">
        <f t="shared" si="8"/>
        <v>0</v>
      </c>
      <c r="K40" s="47">
        <f t="shared" si="8"/>
        <v>0</v>
      </c>
      <c r="L40" s="92">
        <f t="shared" si="30"/>
        <v>17190.449816394383</v>
      </c>
      <c r="M40" s="91">
        <f>IF($A40=O$20,'Construction Costs_2022'!$K$43+'Construction Costs_2022'!$K$7,0)</f>
        <v>0</v>
      </c>
      <c r="N40" s="38">
        <f t="shared" si="31"/>
        <v>43200</v>
      </c>
      <c r="O40" s="38"/>
      <c r="P40" s="45"/>
      <c r="Q40" s="46">
        <f t="shared" si="32"/>
        <v>43200</v>
      </c>
      <c r="R40" s="41">
        <f t="shared" si="9"/>
        <v>0</v>
      </c>
      <c r="S40" s="41">
        <f t="shared" si="47"/>
        <v>25785.674724591576</v>
      </c>
      <c r="T40" s="47">
        <f t="shared" si="48"/>
        <v>0</v>
      </c>
      <c r="U40" s="47">
        <f t="shared" si="10"/>
        <v>0</v>
      </c>
      <c r="V40" s="92">
        <f t="shared" si="33"/>
        <v>25785.674724591576</v>
      </c>
      <c r="W40" s="82">
        <f>IF($A40=Y$20,'Construction Costs_2022'!$K$64+'Construction Costs_2022'!$K$7,0)</f>
        <v>0</v>
      </c>
      <c r="X40" s="38">
        <f t="shared" si="34"/>
        <v>0</v>
      </c>
      <c r="Y40" s="38"/>
      <c r="Z40" s="45"/>
      <c r="AA40" s="46">
        <f t="shared" si="35"/>
        <v>0</v>
      </c>
      <c r="AB40" s="41">
        <f t="shared" si="11"/>
        <v>0</v>
      </c>
      <c r="AC40" s="41">
        <f t="shared" si="11"/>
        <v>0</v>
      </c>
      <c r="AD40" s="47">
        <f t="shared" si="11"/>
        <v>0</v>
      </c>
      <c r="AE40" s="47">
        <f t="shared" si="12"/>
        <v>0</v>
      </c>
      <c r="AF40" s="92">
        <f t="shared" si="36"/>
        <v>0</v>
      </c>
      <c r="AG40" s="82">
        <f>IF($A40=AI$20,'Construction Costs_2022'!$K$84+'Construction Costs_2022'!$K$7,0)</f>
        <v>0</v>
      </c>
      <c r="AH40" s="38">
        <f t="shared" si="37"/>
        <v>0</v>
      </c>
      <c r="AI40" s="38"/>
      <c r="AJ40" s="45"/>
      <c r="AK40" s="46">
        <f t="shared" si="43"/>
        <v>0</v>
      </c>
      <c r="AL40" s="41">
        <f t="shared" si="14"/>
        <v>0</v>
      </c>
      <c r="AM40" s="41">
        <f t="shared" si="15"/>
        <v>0</v>
      </c>
      <c r="AN40" s="47">
        <f t="shared" si="16"/>
        <v>0</v>
      </c>
      <c r="AO40" s="47">
        <f t="shared" si="17"/>
        <v>0</v>
      </c>
      <c r="AP40" s="92">
        <f t="shared" si="38"/>
        <v>0</v>
      </c>
      <c r="AQ40" s="82">
        <f>IF($A40=AS$20,'Construction Costs_2022'!$K$104+'Construction Costs_2022'!$K$7,0)</f>
        <v>0</v>
      </c>
      <c r="AR40" s="38">
        <f t="shared" si="39"/>
        <v>0</v>
      </c>
      <c r="AS40" s="38"/>
      <c r="AT40" s="45"/>
      <c r="AU40" s="46">
        <f t="shared" si="44"/>
        <v>0</v>
      </c>
      <c r="AV40" s="41">
        <f t="shared" si="19"/>
        <v>0</v>
      </c>
      <c r="AW40" s="41">
        <f t="shared" si="20"/>
        <v>0</v>
      </c>
      <c r="AX40" s="47">
        <f t="shared" si="21"/>
        <v>0</v>
      </c>
      <c r="AY40" s="47">
        <f t="shared" si="22"/>
        <v>0</v>
      </c>
      <c r="AZ40" s="92">
        <f t="shared" si="40"/>
        <v>0</v>
      </c>
      <c r="BA40" s="82">
        <f>IF($A40=BC$20,'Construction Costs_2022'!$K$104+'Construction Costs_2022'!$K$7,0)</f>
        <v>0</v>
      </c>
      <c r="BB40" s="38">
        <f t="shared" si="41"/>
        <v>0</v>
      </c>
      <c r="BC40" s="38"/>
      <c r="BD40" s="45"/>
      <c r="BE40" s="46">
        <f t="shared" si="45"/>
        <v>0</v>
      </c>
      <c r="BF40" s="41">
        <f t="shared" si="24"/>
        <v>0</v>
      </c>
      <c r="BG40" s="41">
        <f t="shared" si="25"/>
        <v>0</v>
      </c>
      <c r="BH40" s="47">
        <f t="shared" si="26"/>
        <v>0</v>
      </c>
      <c r="BI40" s="47">
        <f t="shared" si="27"/>
        <v>0</v>
      </c>
      <c r="BJ40" s="92">
        <f t="shared" si="42"/>
        <v>0</v>
      </c>
    </row>
    <row r="41" spans="1:62" s="3" customFormat="1" ht="12.75" x14ac:dyDescent="0.2">
      <c r="A41" s="12">
        <f t="shared" si="28"/>
        <v>16</v>
      </c>
      <c r="B41" s="13">
        <f t="shared" si="29"/>
        <v>0.57670591171478747</v>
      </c>
      <c r="C41" s="82">
        <f>IF($A41=E$20,'Construction Costs_2022'!$K$22+'Construction Costs_2022'!$K$7,0)</f>
        <v>0</v>
      </c>
      <c r="D41" s="38">
        <f t="shared" si="46"/>
        <v>28800</v>
      </c>
      <c r="E41" s="38"/>
      <c r="F41" s="45"/>
      <c r="G41" s="46">
        <f t="shared" si="7"/>
        <v>28800</v>
      </c>
      <c r="H41" s="41">
        <f t="shared" si="8"/>
        <v>0</v>
      </c>
      <c r="I41" s="41">
        <f t="shared" si="8"/>
        <v>16609.130257385877</v>
      </c>
      <c r="J41" s="47">
        <f t="shared" si="8"/>
        <v>0</v>
      </c>
      <c r="K41" s="47">
        <f t="shared" si="8"/>
        <v>0</v>
      </c>
      <c r="L41" s="92">
        <f t="shared" si="30"/>
        <v>16609.130257385877</v>
      </c>
      <c r="M41" s="91">
        <f>IF($A41=O$20,'Construction Costs_2022'!$K$43+'Construction Costs_2022'!$K$7,0)</f>
        <v>0</v>
      </c>
      <c r="N41" s="38">
        <f t="shared" si="31"/>
        <v>43200</v>
      </c>
      <c r="O41" s="38"/>
      <c r="P41" s="45"/>
      <c r="Q41" s="46">
        <f t="shared" si="32"/>
        <v>43200</v>
      </c>
      <c r="R41" s="41">
        <f t="shared" ref="R41:R72" si="49">M41*$B41</f>
        <v>0</v>
      </c>
      <c r="S41" s="41">
        <f t="shared" si="47"/>
        <v>24913.69538607882</v>
      </c>
      <c r="T41" s="47">
        <f t="shared" si="48"/>
        <v>0</v>
      </c>
      <c r="U41" s="47">
        <f t="shared" si="10"/>
        <v>0</v>
      </c>
      <c r="V41" s="92">
        <f t="shared" si="33"/>
        <v>24913.69538607882</v>
      </c>
      <c r="W41" s="82">
        <f>IF($A41=Y$20,'Construction Costs_2022'!$K$64+'Construction Costs_2022'!$K$7,0)</f>
        <v>0</v>
      </c>
      <c r="X41" s="38">
        <f t="shared" si="34"/>
        <v>0</v>
      </c>
      <c r="Y41" s="38"/>
      <c r="Z41" s="45"/>
      <c r="AA41" s="46">
        <f t="shared" si="35"/>
        <v>0</v>
      </c>
      <c r="AB41" s="41">
        <f t="shared" ref="AB41:AD72" si="50">W41*$B41</f>
        <v>0</v>
      </c>
      <c r="AC41" s="41">
        <f t="shared" si="50"/>
        <v>0</v>
      </c>
      <c r="AD41" s="47">
        <f t="shared" si="50"/>
        <v>0</v>
      </c>
      <c r="AE41" s="47">
        <f t="shared" si="12"/>
        <v>0</v>
      </c>
      <c r="AF41" s="92">
        <f t="shared" si="36"/>
        <v>0</v>
      </c>
      <c r="AG41" s="82">
        <f>IF($A41=AI$20,'Construction Costs_2022'!$K$84+'Construction Costs_2022'!$K$7,0)</f>
        <v>0</v>
      </c>
      <c r="AH41" s="38">
        <f t="shared" si="37"/>
        <v>0</v>
      </c>
      <c r="AI41" s="38"/>
      <c r="AJ41" s="45"/>
      <c r="AK41" s="46">
        <f t="shared" si="43"/>
        <v>0</v>
      </c>
      <c r="AL41" s="41">
        <f t="shared" si="14"/>
        <v>0</v>
      </c>
      <c r="AM41" s="41">
        <f t="shared" si="15"/>
        <v>0</v>
      </c>
      <c r="AN41" s="47">
        <f t="shared" si="16"/>
        <v>0</v>
      </c>
      <c r="AO41" s="47">
        <f t="shared" si="17"/>
        <v>0</v>
      </c>
      <c r="AP41" s="92">
        <f t="shared" si="38"/>
        <v>0</v>
      </c>
      <c r="AQ41" s="82">
        <f>IF($A41=AS$20,'Construction Costs_2022'!$K$104+'Construction Costs_2022'!$K$7,0)</f>
        <v>0</v>
      </c>
      <c r="AR41" s="38">
        <f t="shared" si="39"/>
        <v>0</v>
      </c>
      <c r="AS41" s="38"/>
      <c r="AT41" s="45"/>
      <c r="AU41" s="46">
        <f t="shared" si="44"/>
        <v>0</v>
      </c>
      <c r="AV41" s="41">
        <f t="shared" si="19"/>
        <v>0</v>
      </c>
      <c r="AW41" s="41">
        <f t="shared" si="20"/>
        <v>0</v>
      </c>
      <c r="AX41" s="47">
        <f t="shared" si="21"/>
        <v>0</v>
      </c>
      <c r="AY41" s="47">
        <f t="shared" si="22"/>
        <v>0</v>
      </c>
      <c r="AZ41" s="92">
        <f t="shared" si="40"/>
        <v>0</v>
      </c>
      <c r="BA41" s="82">
        <f>IF($A41=BC$20,'Construction Costs_2022'!$K$104+'Construction Costs_2022'!$K$7,0)</f>
        <v>0</v>
      </c>
      <c r="BB41" s="38">
        <f t="shared" si="41"/>
        <v>0</v>
      </c>
      <c r="BC41" s="38"/>
      <c r="BD41" s="45"/>
      <c r="BE41" s="46">
        <f t="shared" si="45"/>
        <v>0</v>
      </c>
      <c r="BF41" s="41">
        <f t="shared" si="24"/>
        <v>0</v>
      </c>
      <c r="BG41" s="41">
        <f t="shared" si="25"/>
        <v>0</v>
      </c>
      <c r="BH41" s="47">
        <f t="shared" si="26"/>
        <v>0</v>
      </c>
      <c r="BI41" s="47">
        <f t="shared" si="27"/>
        <v>0</v>
      </c>
      <c r="BJ41" s="92">
        <f t="shared" si="42"/>
        <v>0</v>
      </c>
    </row>
    <row r="42" spans="1:62" s="3" customFormat="1" ht="12.75" x14ac:dyDescent="0.2">
      <c r="A42" s="12">
        <f t="shared" si="28"/>
        <v>17</v>
      </c>
      <c r="B42" s="13">
        <f t="shared" si="29"/>
        <v>0.55720377943457733</v>
      </c>
      <c r="C42" s="82">
        <f>IF($A42=E$20,'Construction Costs_2022'!$K$22+'Construction Costs_2022'!$K$7,0)</f>
        <v>0</v>
      </c>
      <c r="D42" s="38">
        <f t="shared" si="46"/>
        <v>28800</v>
      </c>
      <c r="E42" s="38"/>
      <c r="F42" s="45"/>
      <c r="G42" s="46">
        <f t="shared" si="7"/>
        <v>28800</v>
      </c>
      <c r="H42" s="41">
        <f t="shared" si="8"/>
        <v>0</v>
      </c>
      <c r="I42" s="41">
        <f t="shared" si="8"/>
        <v>16047.468847715827</v>
      </c>
      <c r="J42" s="47">
        <f t="shared" si="8"/>
        <v>0</v>
      </c>
      <c r="K42" s="47">
        <f t="shared" si="8"/>
        <v>0</v>
      </c>
      <c r="L42" s="92">
        <f t="shared" si="30"/>
        <v>16047.468847715827</v>
      </c>
      <c r="M42" s="91">
        <f>IF($A42=O$20,'Construction Costs_2022'!$K$43+'Construction Costs_2022'!$K$7,0)</f>
        <v>0</v>
      </c>
      <c r="N42" s="38">
        <f t="shared" si="31"/>
        <v>43200</v>
      </c>
      <c r="O42" s="38"/>
      <c r="P42" s="45"/>
      <c r="Q42" s="46">
        <f t="shared" si="32"/>
        <v>43200</v>
      </c>
      <c r="R42" s="41">
        <f t="shared" si="49"/>
        <v>0</v>
      </c>
      <c r="S42" s="41">
        <f t="shared" si="47"/>
        <v>24071.20327157374</v>
      </c>
      <c r="T42" s="47">
        <f t="shared" si="48"/>
        <v>0</v>
      </c>
      <c r="U42" s="47">
        <f t="shared" si="10"/>
        <v>0</v>
      </c>
      <c r="V42" s="92">
        <f t="shared" si="33"/>
        <v>24071.20327157374</v>
      </c>
      <c r="W42" s="82">
        <f>IF($A42=Y$20,'Construction Costs_2022'!$K$64+'Construction Costs_2022'!$K$7,0)</f>
        <v>0</v>
      </c>
      <c r="X42" s="38">
        <f t="shared" si="34"/>
        <v>86400</v>
      </c>
      <c r="Y42" s="38"/>
      <c r="Z42" s="45"/>
      <c r="AA42" s="46">
        <f t="shared" si="35"/>
        <v>86400</v>
      </c>
      <c r="AB42" s="41">
        <f t="shared" si="50"/>
        <v>0</v>
      </c>
      <c r="AC42" s="41">
        <f t="shared" si="50"/>
        <v>48142.406543147481</v>
      </c>
      <c r="AD42" s="47">
        <f t="shared" si="50"/>
        <v>0</v>
      </c>
      <c r="AE42" s="47">
        <f t="shared" si="12"/>
        <v>0</v>
      </c>
      <c r="AF42" s="92">
        <f t="shared" si="36"/>
        <v>48142.406543147481</v>
      </c>
      <c r="AG42" s="82">
        <f>IF($A42=AI$20,'Construction Costs_2022'!$K$84+'Construction Costs_2022'!$K$7,0)</f>
        <v>0</v>
      </c>
      <c r="AH42" s="38">
        <f t="shared" si="37"/>
        <v>100800</v>
      </c>
      <c r="AI42" s="38"/>
      <c r="AJ42" s="45"/>
      <c r="AK42" s="46">
        <f t="shared" si="43"/>
        <v>100800</v>
      </c>
      <c r="AL42" s="41">
        <f t="shared" si="14"/>
        <v>0</v>
      </c>
      <c r="AM42" s="41">
        <f t="shared" si="15"/>
        <v>56166.140967005398</v>
      </c>
      <c r="AN42" s="47">
        <f t="shared" si="16"/>
        <v>0</v>
      </c>
      <c r="AO42" s="47">
        <f t="shared" si="17"/>
        <v>0</v>
      </c>
      <c r="AP42" s="92">
        <f t="shared" si="38"/>
        <v>56166.140967005398</v>
      </c>
      <c r="AQ42" s="82">
        <f>IF($A42=AS$20,'Construction Costs_2022'!$K$104+'Construction Costs_2022'!$K$7,0)</f>
        <v>0</v>
      </c>
      <c r="AR42" s="38">
        <f t="shared" si="39"/>
        <v>57600</v>
      </c>
      <c r="AS42" s="38"/>
      <c r="AT42" s="45"/>
      <c r="AU42" s="46">
        <f t="shared" si="44"/>
        <v>57600</v>
      </c>
      <c r="AV42" s="41">
        <f t="shared" si="19"/>
        <v>0</v>
      </c>
      <c r="AW42" s="41">
        <f t="shared" si="20"/>
        <v>32094.937695431654</v>
      </c>
      <c r="AX42" s="47">
        <f t="shared" si="21"/>
        <v>0</v>
      </c>
      <c r="AY42" s="47">
        <f t="shared" si="22"/>
        <v>0</v>
      </c>
      <c r="AZ42" s="92">
        <f t="shared" si="40"/>
        <v>32094.937695431654</v>
      </c>
      <c r="BA42" s="82">
        <f>IF($A42=BC$20,'Construction Costs_2022'!$K$104+'Construction Costs_2022'!$K$7,0)</f>
        <v>0</v>
      </c>
      <c r="BB42" s="38">
        <f t="shared" si="41"/>
        <v>86400</v>
      </c>
      <c r="BC42" s="38"/>
      <c r="BD42" s="45"/>
      <c r="BE42" s="46">
        <f t="shared" si="45"/>
        <v>86400</v>
      </c>
      <c r="BF42" s="41">
        <f t="shared" si="24"/>
        <v>0</v>
      </c>
      <c r="BG42" s="41">
        <f t="shared" si="25"/>
        <v>48142.406543147481</v>
      </c>
      <c r="BH42" s="47">
        <f t="shared" si="26"/>
        <v>0</v>
      </c>
      <c r="BI42" s="47">
        <f t="shared" si="27"/>
        <v>0</v>
      </c>
      <c r="BJ42" s="92">
        <f t="shared" si="42"/>
        <v>48142.406543147481</v>
      </c>
    </row>
    <row r="43" spans="1:62" s="3" customFormat="1" ht="12.75" x14ac:dyDescent="0.2">
      <c r="A43" s="12">
        <f t="shared" si="28"/>
        <v>18</v>
      </c>
      <c r="B43" s="13">
        <f t="shared" si="29"/>
        <v>0.53836113955031628</v>
      </c>
      <c r="C43" s="82">
        <f>IF($A43=E$20,'Construction Costs_2022'!$K$22+'Construction Costs_2022'!$K$7,0)</f>
        <v>0</v>
      </c>
      <c r="D43" s="38">
        <f t="shared" si="46"/>
        <v>28800</v>
      </c>
      <c r="E43" s="38"/>
      <c r="F43" s="45"/>
      <c r="G43" s="46">
        <f t="shared" si="7"/>
        <v>28800</v>
      </c>
      <c r="H43" s="41">
        <f t="shared" si="8"/>
        <v>0</v>
      </c>
      <c r="I43" s="41">
        <f t="shared" si="8"/>
        <v>15504.800819049109</v>
      </c>
      <c r="J43" s="47">
        <f t="shared" si="8"/>
        <v>0</v>
      </c>
      <c r="K43" s="47">
        <f t="shared" si="8"/>
        <v>0</v>
      </c>
      <c r="L43" s="92">
        <f t="shared" si="30"/>
        <v>15504.800819049109</v>
      </c>
      <c r="M43" s="91">
        <f>IF($A43=O$20,'Construction Costs_2022'!$K$43+'Construction Costs_2022'!$K$7,0)</f>
        <v>0</v>
      </c>
      <c r="N43" s="38">
        <f t="shared" si="31"/>
        <v>43200</v>
      </c>
      <c r="O43" s="38"/>
      <c r="P43" s="45"/>
      <c r="Q43" s="46">
        <f t="shared" si="32"/>
        <v>43200</v>
      </c>
      <c r="R43" s="41">
        <f t="shared" si="49"/>
        <v>0</v>
      </c>
      <c r="S43" s="41">
        <f t="shared" si="47"/>
        <v>23257.201228573664</v>
      </c>
      <c r="T43" s="47">
        <f t="shared" si="48"/>
        <v>0</v>
      </c>
      <c r="U43" s="47">
        <f t="shared" si="10"/>
        <v>0</v>
      </c>
      <c r="V43" s="92">
        <f t="shared" si="33"/>
        <v>23257.201228573664</v>
      </c>
      <c r="W43" s="82">
        <f>IF($A43=Y$20,'Construction Costs_2022'!$K$64+'Construction Costs_2022'!$K$7,0)</f>
        <v>0</v>
      </c>
      <c r="X43" s="38">
        <f t="shared" si="34"/>
        <v>0</v>
      </c>
      <c r="Y43" s="38"/>
      <c r="Z43" s="45"/>
      <c r="AA43" s="46">
        <f t="shared" si="35"/>
        <v>0</v>
      </c>
      <c r="AB43" s="41">
        <f t="shared" si="50"/>
        <v>0</v>
      </c>
      <c r="AC43" s="41">
        <f t="shared" si="50"/>
        <v>0</v>
      </c>
      <c r="AD43" s="47">
        <f t="shared" si="50"/>
        <v>0</v>
      </c>
      <c r="AE43" s="47">
        <f t="shared" si="12"/>
        <v>0</v>
      </c>
      <c r="AF43" s="92">
        <f t="shared" si="36"/>
        <v>0</v>
      </c>
      <c r="AG43" s="82">
        <f>IF($A43=AI$20,'Construction Costs_2022'!$K$84+'Construction Costs_2022'!$K$7,0)</f>
        <v>0</v>
      </c>
      <c r="AH43" s="38">
        <f t="shared" si="37"/>
        <v>0</v>
      </c>
      <c r="AI43" s="38"/>
      <c r="AJ43" s="45"/>
      <c r="AK43" s="46">
        <f t="shared" si="43"/>
        <v>0</v>
      </c>
      <c r="AL43" s="41">
        <f t="shared" si="14"/>
        <v>0</v>
      </c>
      <c r="AM43" s="41">
        <f t="shared" si="15"/>
        <v>0</v>
      </c>
      <c r="AN43" s="47">
        <f t="shared" si="16"/>
        <v>0</v>
      </c>
      <c r="AO43" s="47">
        <f t="shared" si="17"/>
        <v>0</v>
      </c>
      <c r="AP43" s="92">
        <f t="shared" si="38"/>
        <v>0</v>
      </c>
      <c r="AQ43" s="82">
        <f>IF($A43=AS$20,'Construction Costs_2022'!$K$104+'Construction Costs_2022'!$K$7,0)</f>
        <v>0</v>
      </c>
      <c r="AR43" s="38">
        <f t="shared" si="39"/>
        <v>0</v>
      </c>
      <c r="AS43" s="38"/>
      <c r="AT43" s="45"/>
      <c r="AU43" s="46">
        <f t="shared" si="44"/>
        <v>0</v>
      </c>
      <c r="AV43" s="41">
        <f t="shared" si="19"/>
        <v>0</v>
      </c>
      <c r="AW43" s="41">
        <f t="shared" si="20"/>
        <v>0</v>
      </c>
      <c r="AX43" s="47">
        <f t="shared" si="21"/>
        <v>0</v>
      </c>
      <c r="AY43" s="47">
        <f t="shared" si="22"/>
        <v>0</v>
      </c>
      <c r="AZ43" s="92">
        <f t="shared" si="40"/>
        <v>0</v>
      </c>
      <c r="BA43" s="82">
        <f>IF($A43=BC$20,'Construction Costs_2022'!$K$104+'Construction Costs_2022'!$K$7,0)</f>
        <v>0</v>
      </c>
      <c r="BB43" s="38">
        <f t="shared" si="41"/>
        <v>0</v>
      </c>
      <c r="BC43" s="38"/>
      <c r="BD43" s="45"/>
      <c r="BE43" s="46">
        <f t="shared" si="45"/>
        <v>0</v>
      </c>
      <c r="BF43" s="41">
        <f t="shared" si="24"/>
        <v>0</v>
      </c>
      <c r="BG43" s="41">
        <f t="shared" si="25"/>
        <v>0</v>
      </c>
      <c r="BH43" s="47">
        <f t="shared" si="26"/>
        <v>0</v>
      </c>
      <c r="BI43" s="47">
        <f t="shared" si="27"/>
        <v>0</v>
      </c>
      <c r="BJ43" s="92">
        <f t="shared" si="42"/>
        <v>0</v>
      </c>
    </row>
    <row r="44" spans="1:62" s="3" customFormat="1" ht="12.75" x14ac:dyDescent="0.2">
      <c r="A44" s="12">
        <f t="shared" si="28"/>
        <v>19</v>
      </c>
      <c r="B44" s="13">
        <f t="shared" si="29"/>
        <v>0.520155690386779</v>
      </c>
      <c r="C44" s="82">
        <f>IF($A44=E$20,'Construction Costs_2022'!$K$22+'Construction Costs_2022'!$K$7,0)</f>
        <v>0</v>
      </c>
      <c r="D44" s="38">
        <f t="shared" si="46"/>
        <v>28800</v>
      </c>
      <c r="E44" s="38"/>
      <c r="F44" s="45"/>
      <c r="G44" s="46">
        <f t="shared" si="7"/>
        <v>28800</v>
      </c>
      <c r="H44" s="41">
        <f t="shared" si="8"/>
        <v>0</v>
      </c>
      <c r="I44" s="41">
        <f t="shared" si="8"/>
        <v>14980.483883139235</v>
      </c>
      <c r="J44" s="47">
        <f t="shared" si="8"/>
        <v>0</v>
      </c>
      <c r="K44" s="47">
        <f t="shared" si="8"/>
        <v>0</v>
      </c>
      <c r="L44" s="92">
        <f t="shared" si="30"/>
        <v>14980.483883139235</v>
      </c>
      <c r="M44" s="91">
        <f>IF($A44=O$20,'Construction Costs_2022'!$K$43+'Construction Costs_2022'!$K$7,0)</f>
        <v>0</v>
      </c>
      <c r="N44" s="38">
        <f t="shared" si="31"/>
        <v>43200</v>
      </c>
      <c r="O44" s="38"/>
      <c r="P44" s="45"/>
      <c r="Q44" s="46">
        <f t="shared" si="32"/>
        <v>43200</v>
      </c>
      <c r="R44" s="41">
        <f t="shared" si="49"/>
        <v>0</v>
      </c>
      <c r="S44" s="41">
        <f t="shared" si="47"/>
        <v>22470.725824708854</v>
      </c>
      <c r="T44" s="47">
        <f t="shared" si="48"/>
        <v>0</v>
      </c>
      <c r="U44" s="47">
        <f t="shared" si="10"/>
        <v>0</v>
      </c>
      <c r="V44" s="92">
        <f t="shared" si="33"/>
        <v>22470.725824708854</v>
      </c>
      <c r="W44" s="82">
        <f>IF($A44=Y$20,'Construction Costs_2022'!$K$64+'Construction Costs_2022'!$K$7,0)</f>
        <v>0</v>
      </c>
      <c r="X44" s="38">
        <f t="shared" si="34"/>
        <v>0</v>
      </c>
      <c r="Y44" s="38"/>
      <c r="Z44" s="45"/>
      <c r="AA44" s="46">
        <f t="shared" si="35"/>
        <v>0</v>
      </c>
      <c r="AB44" s="41">
        <f t="shared" si="50"/>
        <v>0</v>
      </c>
      <c r="AC44" s="41">
        <f t="shared" si="50"/>
        <v>0</v>
      </c>
      <c r="AD44" s="47">
        <f t="shared" si="50"/>
        <v>0</v>
      </c>
      <c r="AE44" s="47">
        <f t="shared" si="12"/>
        <v>0</v>
      </c>
      <c r="AF44" s="92">
        <f t="shared" si="36"/>
        <v>0</v>
      </c>
      <c r="AG44" s="82">
        <f>IF($A44=AI$20,'Construction Costs_2022'!$K$84+'Construction Costs_2022'!$K$7,0)</f>
        <v>0</v>
      </c>
      <c r="AH44" s="38">
        <f t="shared" si="37"/>
        <v>0</v>
      </c>
      <c r="AI44" s="38"/>
      <c r="AJ44" s="45"/>
      <c r="AK44" s="46">
        <f t="shared" si="43"/>
        <v>0</v>
      </c>
      <c r="AL44" s="41">
        <f t="shared" si="14"/>
        <v>0</v>
      </c>
      <c r="AM44" s="41">
        <f t="shared" si="15"/>
        <v>0</v>
      </c>
      <c r="AN44" s="47">
        <f t="shared" si="16"/>
        <v>0</v>
      </c>
      <c r="AO44" s="47">
        <f t="shared" si="17"/>
        <v>0</v>
      </c>
      <c r="AP44" s="92">
        <f t="shared" si="38"/>
        <v>0</v>
      </c>
      <c r="AQ44" s="82">
        <f>IF($A44=AS$20,'Construction Costs_2022'!$K$104+'Construction Costs_2022'!$K$7,0)</f>
        <v>0</v>
      </c>
      <c r="AR44" s="38">
        <f t="shared" si="39"/>
        <v>0</v>
      </c>
      <c r="AS44" s="38"/>
      <c r="AT44" s="45"/>
      <c r="AU44" s="46">
        <f t="shared" si="44"/>
        <v>0</v>
      </c>
      <c r="AV44" s="41">
        <f t="shared" si="19"/>
        <v>0</v>
      </c>
      <c r="AW44" s="41">
        <f t="shared" si="20"/>
        <v>0</v>
      </c>
      <c r="AX44" s="47">
        <f t="shared" si="21"/>
        <v>0</v>
      </c>
      <c r="AY44" s="47">
        <f t="shared" si="22"/>
        <v>0</v>
      </c>
      <c r="AZ44" s="92">
        <f t="shared" si="40"/>
        <v>0</v>
      </c>
      <c r="BA44" s="82">
        <f>IF($A44=BC$20,'Construction Costs_2022'!$K$104+'Construction Costs_2022'!$K$7,0)</f>
        <v>0</v>
      </c>
      <c r="BB44" s="38">
        <f t="shared" si="41"/>
        <v>0</v>
      </c>
      <c r="BC44" s="38"/>
      <c r="BD44" s="45"/>
      <c r="BE44" s="46">
        <f t="shared" si="45"/>
        <v>0</v>
      </c>
      <c r="BF44" s="41">
        <f t="shared" si="24"/>
        <v>0</v>
      </c>
      <c r="BG44" s="41">
        <f t="shared" si="25"/>
        <v>0</v>
      </c>
      <c r="BH44" s="47">
        <f t="shared" si="26"/>
        <v>0</v>
      </c>
      <c r="BI44" s="47">
        <f t="shared" si="27"/>
        <v>0</v>
      </c>
      <c r="BJ44" s="92">
        <f t="shared" si="42"/>
        <v>0</v>
      </c>
    </row>
    <row r="45" spans="1:62" s="3" customFormat="1" ht="12.75" x14ac:dyDescent="0.2">
      <c r="A45" s="12">
        <f t="shared" si="28"/>
        <v>20</v>
      </c>
      <c r="B45" s="13">
        <f t="shared" si="29"/>
        <v>0.50256588443167061</v>
      </c>
      <c r="C45" s="82">
        <f>IF($A45=E$20,'Construction Costs_2022'!$K$22+'Construction Costs_2022'!$K$7,0)</f>
        <v>0</v>
      </c>
      <c r="D45" s="38">
        <f t="shared" si="46"/>
        <v>28800</v>
      </c>
      <c r="E45" s="38"/>
      <c r="F45" s="45"/>
      <c r="G45" s="46">
        <f t="shared" si="7"/>
        <v>28800</v>
      </c>
      <c r="H45" s="41">
        <f t="shared" si="8"/>
        <v>0</v>
      </c>
      <c r="I45" s="41">
        <f t="shared" si="8"/>
        <v>14473.897471632114</v>
      </c>
      <c r="J45" s="47">
        <f t="shared" si="8"/>
        <v>0</v>
      </c>
      <c r="K45" s="47">
        <f t="shared" si="8"/>
        <v>0</v>
      </c>
      <c r="L45" s="92">
        <f t="shared" si="30"/>
        <v>14473.897471632114</v>
      </c>
      <c r="M45" s="91">
        <f>IF($A45=O$20,'Construction Costs_2022'!$K$43+'Construction Costs_2022'!$K$7,0)</f>
        <v>0</v>
      </c>
      <c r="N45" s="38">
        <f t="shared" si="31"/>
        <v>43200</v>
      </c>
      <c r="O45" s="38"/>
      <c r="P45" s="45"/>
      <c r="Q45" s="46">
        <f t="shared" si="32"/>
        <v>43200</v>
      </c>
      <c r="R45" s="41">
        <f t="shared" si="49"/>
        <v>0</v>
      </c>
      <c r="S45" s="41">
        <f t="shared" si="47"/>
        <v>21710.846207448169</v>
      </c>
      <c r="T45" s="47">
        <f t="shared" si="48"/>
        <v>0</v>
      </c>
      <c r="U45" s="47">
        <f t="shared" si="10"/>
        <v>0</v>
      </c>
      <c r="V45" s="92">
        <f t="shared" si="33"/>
        <v>21710.846207448169</v>
      </c>
      <c r="W45" s="82">
        <f>IF($A45=Y$20,'Construction Costs_2022'!$K$64+'Construction Costs_2022'!$K$7,0)</f>
        <v>0</v>
      </c>
      <c r="X45" s="38">
        <f t="shared" si="34"/>
        <v>0</v>
      </c>
      <c r="Y45" s="38"/>
      <c r="Z45" s="45"/>
      <c r="AA45" s="46">
        <f t="shared" si="35"/>
        <v>0</v>
      </c>
      <c r="AB45" s="41">
        <f t="shared" si="50"/>
        <v>0</v>
      </c>
      <c r="AC45" s="41">
        <f t="shared" si="50"/>
        <v>0</v>
      </c>
      <c r="AD45" s="47">
        <f t="shared" si="50"/>
        <v>0</v>
      </c>
      <c r="AE45" s="47">
        <f t="shared" si="12"/>
        <v>0</v>
      </c>
      <c r="AF45" s="92">
        <f t="shared" si="36"/>
        <v>0</v>
      </c>
      <c r="AG45" s="82">
        <f>IF($A45=AI$20,'Construction Costs_2022'!$K$84+'Construction Costs_2022'!$K$7,0)</f>
        <v>0</v>
      </c>
      <c r="AH45" s="38">
        <f t="shared" si="37"/>
        <v>0</v>
      </c>
      <c r="AI45" s="38"/>
      <c r="AJ45" s="45"/>
      <c r="AK45" s="46">
        <f t="shared" si="43"/>
        <v>0</v>
      </c>
      <c r="AL45" s="41">
        <f t="shared" si="14"/>
        <v>0</v>
      </c>
      <c r="AM45" s="41">
        <f t="shared" si="15"/>
        <v>0</v>
      </c>
      <c r="AN45" s="47">
        <f t="shared" si="16"/>
        <v>0</v>
      </c>
      <c r="AO45" s="47">
        <f t="shared" si="17"/>
        <v>0</v>
      </c>
      <c r="AP45" s="92">
        <f t="shared" si="38"/>
        <v>0</v>
      </c>
      <c r="AQ45" s="82">
        <f>IF($A45=AS$20,'Construction Costs_2022'!$K$104+'Construction Costs_2022'!$K$7,0)</f>
        <v>0</v>
      </c>
      <c r="AR45" s="38">
        <f t="shared" si="39"/>
        <v>0</v>
      </c>
      <c r="AS45" s="38"/>
      <c r="AT45" s="45"/>
      <c r="AU45" s="46">
        <f t="shared" si="44"/>
        <v>0</v>
      </c>
      <c r="AV45" s="41">
        <f t="shared" si="19"/>
        <v>0</v>
      </c>
      <c r="AW45" s="41">
        <f t="shared" si="20"/>
        <v>0</v>
      </c>
      <c r="AX45" s="47">
        <f t="shared" si="21"/>
        <v>0</v>
      </c>
      <c r="AY45" s="47">
        <f t="shared" si="22"/>
        <v>0</v>
      </c>
      <c r="AZ45" s="92">
        <f t="shared" si="40"/>
        <v>0</v>
      </c>
      <c r="BA45" s="82">
        <f>IF($A45=BC$20,'Construction Costs_2022'!$K$104+'Construction Costs_2022'!$K$7,0)</f>
        <v>0</v>
      </c>
      <c r="BB45" s="38">
        <f t="shared" si="41"/>
        <v>0</v>
      </c>
      <c r="BC45" s="38"/>
      <c r="BD45" s="45"/>
      <c r="BE45" s="46">
        <f t="shared" si="45"/>
        <v>0</v>
      </c>
      <c r="BF45" s="41">
        <f t="shared" si="24"/>
        <v>0</v>
      </c>
      <c r="BG45" s="41">
        <f t="shared" si="25"/>
        <v>0</v>
      </c>
      <c r="BH45" s="47">
        <f t="shared" si="26"/>
        <v>0</v>
      </c>
      <c r="BI45" s="47">
        <f t="shared" si="27"/>
        <v>0</v>
      </c>
      <c r="BJ45" s="92">
        <f t="shared" si="42"/>
        <v>0</v>
      </c>
    </row>
    <row r="46" spans="1:62" s="3" customFormat="1" ht="12.75" x14ac:dyDescent="0.2">
      <c r="A46" s="12">
        <f t="shared" si="28"/>
        <v>21</v>
      </c>
      <c r="B46" s="13">
        <f t="shared" si="29"/>
        <v>0.48557090283253201</v>
      </c>
      <c r="C46" s="82">
        <f>IF($A46=E$20,'Construction Costs_2022'!$K$22+'Construction Costs_2022'!$K$7,0)</f>
        <v>0</v>
      </c>
      <c r="D46" s="38">
        <f t="shared" si="46"/>
        <v>28800</v>
      </c>
      <c r="E46" s="38"/>
      <c r="F46" s="45"/>
      <c r="G46" s="46">
        <f t="shared" si="7"/>
        <v>28800</v>
      </c>
      <c r="H46" s="41">
        <f t="shared" si="8"/>
        <v>0</v>
      </c>
      <c r="I46" s="41">
        <f t="shared" si="8"/>
        <v>13984.442001576923</v>
      </c>
      <c r="J46" s="47">
        <f t="shared" si="8"/>
        <v>0</v>
      </c>
      <c r="K46" s="47">
        <f t="shared" si="8"/>
        <v>0</v>
      </c>
      <c r="L46" s="92">
        <f t="shared" si="30"/>
        <v>13984.442001576923</v>
      </c>
      <c r="M46" s="91">
        <f>IF($A46=O$20,'Construction Costs_2022'!$K$43+'Construction Costs_2022'!$K$7,0)</f>
        <v>0</v>
      </c>
      <c r="N46" s="38">
        <f t="shared" si="31"/>
        <v>43200</v>
      </c>
      <c r="O46" s="38"/>
      <c r="P46" s="45"/>
      <c r="Q46" s="46">
        <f t="shared" si="32"/>
        <v>43200</v>
      </c>
      <c r="R46" s="41">
        <f t="shared" si="49"/>
        <v>0</v>
      </c>
      <c r="S46" s="41">
        <f t="shared" si="47"/>
        <v>20976.663002365382</v>
      </c>
      <c r="T46" s="47">
        <f t="shared" si="48"/>
        <v>0</v>
      </c>
      <c r="U46" s="47">
        <f t="shared" si="10"/>
        <v>0</v>
      </c>
      <c r="V46" s="92">
        <f t="shared" si="33"/>
        <v>20976.663002365382</v>
      </c>
      <c r="W46" s="82">
        <f>IF($A46=Y$20,'Construction Costs_2022'!$K$64+'Construction Costs_2022'!$K$7,0)</f>
        <v>0</v>
      </c>
      <c r="X46" s="38">
        <f t="shared" si="34"/>
        <v>0</v>
      </c>
      <c r="Y46" s="38"/>
      <c r="Z46" s="45"/>
      <c r="AA46" s="46">
        <f t="shared" si="35"/>
        <v>0</v>
      </c>
      <c r="AB46" s="41">
        <f t="shared" si="50"/>
        <v>0</v>
      </c>
      <c r="AC46" s="41">
        <f t="shared" si="50"/>
        <v>0</v>
      </c>
      <c r="AD46" s="47">
        <f t="shared" si="50"/>
        <v>0</v>
      </c>
      <c r="AE46" s="47">
        <f t="shared" si="12"/>
        <v>0</v>
      </c>
      <c r="AF46" s="92">
        <f t="shared" si="36"/>
        <v>0</v>
      </c>
      <c r="AG46" s="82">
        <f>IF($A46=AI$20,'Construction Costs_2022'!$K$84+'Construction Costs_2022'!$K$7,0)</f>
        <v>0</v>
      </c>
      <c r="AH46" s="38">
        <f t="shared" si="37"/>
        <v>0</v>
      </c>
      <c r="AI46" s="38"/>
      <c r="AJ46" s="45"/>
      <c r="AK46" s="46">
        <f t="shared" si="43"/>
        <v>0</v>
      </c>
      <c r="AL46" s="41">
        <f t="shared" si="14"/>
        <v>0</v>
      </c>
      <c r="AM46" s="41">
        <f t="shared" si="15"/>
        <v>0</v>
      </c>
      <c r="AN46" s="47">
        <f t="shared" si="16"/>
        <v>0</v>
      </c>
      <c r="AO46" s="47">
        <f t="shared" si="17"/>
        <v>0</v>
      </c>
      <c r="AP46" s="92">
        <f t="shared" si="38"/>
        <v>0</v>
      </c>
      <c r="AQ46" s="82">
        <f>IF($A46=AS$20,'Construction Costs_2022'!$K$104+'Construction Costs_2022'!$K$7,0)</f>
        <v>0</v>
      </c>
      <c r="AR46" s="38">
        <f t="shared" si="39"/>
        <v>0</v>
      </c>
      <c r="AS46" s="38"/>
      <c r="AT46" s="45"/>
      <c r="AU46" s="46">
        <f t="shared" si="44"/>
        <v>0</v>
      </c>
      <c r="AV46" s="41">
        <f t="shared" si="19"/>
        <v>0</v>
      </c>
      <c r="AW46" s="41">
        <f t="shared" si="20"/>
        <v>0</v>
      </c>
      <c r="AX46" s="47">
        <f t="shared" si="21"/>
        <v>0</v>
      </c>
      <c r="AY46" s="47">
        <f t="shared" si="22"/>
        <v>0</v>
      </c>
      <c r="AZ46" s="92">
        <f t="shared" si="40"/>
        <v>0</v>
      </c>
      <c r="BA46" s="82">
        <f>IF($A46=BC$20,'Construction Costs_2022'!$K$104+'Construction Costs_2022'!$K$7,0)</f>
        <v>0</v>
      </c>
      <c r="BB46" s="38">
        <f t="shared" si="41"/>
        <v>0</v>
      </c>
      <c r="BC46" s="38"/>
      <c r="BD46" s="45"/>
      <c r="BE46" s="46">
        <f t="shared" si="45"/>
        <v>0</v>
      </c>
      <c r="BF46" s="41">
        <f t="shared" si="24"/>
        <v>0</v>
      </c>
      <c r="BG46" s="41">
        <f t="shared" si="25"/>
        <v>0</v>
      </c>
      <c r="BH46" s="47">
        <f t="shared" si="26"/>
        <v>0</v>
      </c>
      <c r="BI46" s="47">
        <f t="shared" si="27"/>
        <v>0</v>
      </c>
      <c r="BJ46" s="92">
        <f t="shared" si="42"/>
        <v>0</v>
      </c>
    </row>
    <row r="47" spans="1:62" s="3" customFormat="1" ht="12.75" x14ac:dyDescent="0.2">
      <c r="A47" s="12">
        <f t="shared" si="28"/>
        <v>22</v>
      </c>
      <c r="B47" s="13">
        <f t="shared" si="29"/>
        <v>0.46915063075606961</v>
      </c>
      <c r="C47" s="82">
        <f>IF($A47=E$20,'Construction Costs_2022'!$K$22+'Construction Costs_2022'!$K$7,0)</f>
        <v>0</v>
      </c>
      <c r="D47" s="38">
        <f t="shared" si="46"/>
        <v>1301900</v>
      </c>
      <c r="E47" s="38"/>
      <c r="F47" s="45"/>
      <c r="G47" s="46">
        <f t="shared" si="7"/>
        <v>1301900</v>
      </c>
      <c r="H47" s="41">
        <f t="shared" si="8"/>
        <v>0</v>
      </c>
      <c r="I47" s="41">
        <f t="shared" si="8"/>
        <v>610787.206181327</v>
      </c>
      <c r="J47" s="47">
        <f t="shared" si="8"/>
        <v>0</v>
      </c>
      <c r="K47" s="47">
        <f t="shared" si="8"/>
        <v>0</v>
      </c>
      <c r="L47" s="92">
        <f t="shared" si="30"/>
        <v>610787.206181327</v>
      </c>
      <c r="M47" s="91">
        <f>IF($A47=O$20,'Construction Costs_2022'!$K$43+'Construction Costs_2022'!$K$7,0)</f>
        <v>0</v>
      </c>
      <c r="N47" s="38">
        <f t="shared" si="31"/>
        <v>1207840</v>
      </c>
      <c r="O47" s="38"/>
      <c r="P47" s="45"/>
      <c r="Q47" s="46">
        <f t="shared" si="32"/>
        <v>1207840</v>
      </c>
      <c r="R47" s="41">
        <f t="shared" si="49"/>
        <v>0</v>
      </c>
      <c r="S47" s="41">
        <f t="shared" si="47"/>
        <v>566658.89785241114</v>
      </c>
      <c r="T47" s="47">
        <f t="shared" si="48"/>
        <v>0</v>
      </c>
      <c r="U47" s="47">
        <f t="shared" si="10"/>
        <v>0</v>
      </c>
      <c r="V47" s="92">
        <f t="shared" si="33"/>
        <v>566658.89785241114</v>
      </c>
      <c r="W47" s="82">
        <f>IF($A47=Y$20,'Construction Costs_2022'!$K$64+'Construction Costs_2022'!$K$7,0)</f>
        <v>0</v>
      </c>
      <c r="X47" s="38">
        <f t="shared" si="34"/>
        <v>919280</v>
      </c>
      <c r="Y47" s="38"/>
      <c r="Z47" s="45"/>
      <c r="AA47" s="46">
        <f t="shared" si="35"/>
        <v>919280</v>
      </c>
      <c r="AB47" s="41">
        <f t="shared" si="50"/>
        <v>0</v>
      </c>
      <c r="AC47" s="41">
        <f t="shared" si="50"/>
        <v>431280.79184143967</v>
      </c>
      <c r="AD47" s="47">
        <f t="shared" si="50"/>
        <v>0</v>
      </c>
      <c r="AE47" s="47">
        <f t="shared" si="12"/>
        <v>0</v>
      </c>
      <c r="AF47" s="92">
        <f t="shared" si="36"/>
        <v>431280.79184143967</v>
      </c>
      <c r="AG47" s="82">
        <f>IF($A47=AI$20,'Construction Costs_2022'!$K$84+'Construction Costs_2022'!$K$7,0)</f>
        <v>0</v>
      </c>
      <c r="AH47" s="38">
        <f t="shared" si="37"/>
        <v>876260</v>
      </c>
      <c r="AI47" s="38"/>
      <c r="AJ47" s="45"/>
      <c r="AK47" s="46">
        <f t="shared" si="43"/>
        <v>876260</v>
      </c>
      <c r="AL47" s="41">
        <f t="shared" si="14"/>
        <v>0</v>
      </c>
      <c r="AM47" s="41">
        <f t="shared" si="15"/>
        <v>411097.93170631357</v>
      </c>
      <c r="AN47" s="47">
        <f t="shared" si="16"/>
        <v>0</v>
      </c>
      <c r="AO47" s="47">
        <f t="shared" si="17"/>
        <v>0</v>
      </c>
      <c r="AP47" s="92">
        <f t="shared" si="38"/>
        <v>411097.93170631357</v>
      </c>
      <c r="AQ47" s="82">
        <f>IF($A47=AS$20,'Construction Costs_2022'!$K$104+'Construction Costs_2022'!$K$7,0)</f>
        <v>0</v>
      </c>
      <c r="AR47" s="38">
        <f t="shared" si="39"/>
        <v>1005320</v>
      </c>
      <c r="AS47" s="38"/>
      <c r="AT47" s="45"/>
      <c r="AU47" s="46">
        <f t="shared" si="44"/>
        <v>1005320</v>
      </c>
      <c r="AV47" s="41">
        <f t="shared" si="19"/>
        <v>0</v>
      </c>
      <c r="AW47" s="41">
        <f t="shared" si="20"/>
        <v>471646.51211169187</v>
      </c>
      <c r="AX47" s="47">
        <f t="shared" si="21"/>
        <v>0</v>
      </c>
      <c r="AY47" s="47">
        <f t="shared" si="22"/>
        <v>0</v>
      </c>
      <c r="AZ47" s="92">
        <f t="shared" si="40"/>
        <v>471646.51211169187</v>
      </c>
      <c r="BA47" s="82">
        <f>IF($A47=BC$20,'Construction Costs_2022'!$K$104+'Construction Costs_2022'!$K$7,0)</f>
        <v>0</v>
      </c>
      <c r="BB47" s="38">
        <f t="shared" si="41"/>
        <v>201530</v>
      </c>
      <c r="BC47" s="38"/>
      <c r="BD47" s="45"/>
      <c r="BE47" s="46">
        <f t="shared" si="45"/>
        <v>201530</v>
      </c>
      <c r="BF47" s="41">
        <f t="shared" si="24"/>
        <v>0</v>
      </c>
      <c r="BG47" s="41">
        <f t="shared" si="25"/>
        <v>94547.926616270706</v>
      </c>
      <c r="BH47" s="47">
        <f t="shared" si="26"/>
        <v>0</v>
      </c>
      <c r="BI47" s="47">
        <f t="shared" si="27"/>
        <v>0</v>
      </c>
      <c r="BJ47" s="92">
        <f t="shared" si="42"/>
        <v>94547.926616270706</v>
      </c>
    </row>
    <row r="48" spans="1:62" s="3" customFormat="1" ht="12.75" x14ac:dyDescent="0.2">
      <c r="A48" s="12">
        <f t="shared" si="28"/>
        <v>23</v>
      </c>
      <c r="B48" s="13">
        <f t="shared" si="29"/>
        <v>0.45328563358074364</v>
      </c>
      <c r="C48" s="82">
        <f>IF($A48=E$20,'Construction Costs_2022'!$K$22+'Construction Costs_2022'!$K$7,0)</f>
        <v>0</v>
      </c>
      <c r="D48" s="38">
        <f t="shared" si="46"/>
        <v>28800</v>
      </c>
      <c r="E48" s="38"/>
      <c r="F48" s="45"/>
      <c r="G48" s="46">
        <f t="shared" si="7"/>
        <v>28800</v>
      </c>
      <c r="H48" s="41">
        <f t="shared" si="8"/>
        <v>0</v>
      </c>
      <c r="I48" s="41">
        <f t="shared" si="8"/>
        <v>13054.626247125418</v>
      </c>
      <c r="J48" s="47">
        <f t="shared" si="8"/>
        <v>0</v>
      </c>
      <c r="K48" s="47">
        <f t="shared" si="8"/>
        <v>0</v>
      </c>
      <c r="L48" s="92">
        <f t="shared" si="30"/>
        <v>13054.626247125418</v>
      </c>
      <c r="M48" s="91">
        <f>IF($A48=O$20,'Construction Costs_2022'!$K$43+'Construction Costs_2022'!$K$7,0)</f>
        <v>0</v>
      </c>
      <c r="N48" s="38">
        <f t="shared" si="31"/>
        <v>43200</v>
      </c>
      <c r="O48" s="38"/>
      <c r="P48" s="45"/>
      <c r="Q48" s="46">
        <f t="shared" si="32"/>
        <v>43200</v>
      </c>
      <c r="R48" s="41">
        <f t="shared" si="49"/>
        <v>0</v>
      </c>
      <c r="S48" s="41">
        <f t="shared" si="47"/>
        <v>19581.939370688124</v>
      </c>
      <c r="T48" s="47">
        <f t="shared" si="48"/>
        <v>0</v>
      </c>
      <c r="U48" s="47">
        <f t="shared" si="10"/>
        <v>0</v>
      </c>
      <c r="V48" s="92">
        <f t="shared" si="33"/>
        <v>19581.939370688124</v>
      </c>
      <c r="W48" s="82">
        <f>IF($A48=Y$20,'Construction Costs_2022'!$K$64+'Construction Costs_2022'!$K$7,0)</f>
        <v>0</v>
      </c>
      <c r="X48" s="38">
        <f t="shared" si="34"/>
        <v>0</v>
      </c>
      <c r="Y48" s="38"/>
      <c r="Z48" s="45"/>
      <c r="AA48" s="46">
        <f t="shared" si="35"/>
        <v>0</v>
      </c>
      <c r="AB48" s="41">
        <f t="shared" si="50"/>
        <v>0</v>
      </c>
      <c r="AC48" s="41">
        <f t="shared" si="50"/>
        <v>0</v>
      </c>
      <c r="AD48" s="47">
        <f t="shared" si="50"/>
        <v>0</v>
      </c>
      <c r="AE48" s="47">
        <f t="shared" si="12"/>
        <v>0</v>
      </c>
      <c r="AF48" s="92">
        <f t="shared" si="36"/>
        <v>0</v>
      </c>
      <c r="AG48" s="82">
        <f>IF($A48=AI$20,'Construction Costs_2022'!$K$84+'Construction Costs_2022'!$K$7,0)</f>
        <v>0</v>
      </c>
      <c r="AH48" s="38">
        <f t="shared" si="37"/>
        <v>0</v>
      </c>
      <c r="AI48" s="38"/>
      <c r="AJ48" s="45"/>
      <c r="AK48" s="46">
        <f t="shared" si="43"/>
        <v>0</v>
      </c>
      <c r="AL48" s="41">
        <f t="shared" si="14"/>
        <v>0</v>
      </c>
      <c r="AM48" s="41">
        <f t="shared" si="15"/>
        <v>0</v>
      </c>
      <c r="AN48" s="47">
        <f t="shared" si="16"/>
        <v>0</v>
      </c>
      <c r="AO48" s="47">
        <f t="shared" si="17"/>
        <v>0</v>
      </c>
      <c r="AP48" s="92">
        <f t="shared" si="38"/>
        <v>0</v>
      </c>
      <c r="AQ48" s="82">
        <f>IF($A48=AS$20,'Construction Costs_2022'!$K$104+'Construction Costs_2022'!$K$7,0)</f>
        <v>0</v>
      </c>
      <c r="AR48" s="38">
        <f t="shared" si="39"/>
        <v>0</v>
      </c>
      <c r="AS48" s="38"/>
      <c r="AT48" s="45"/>
      <c r="AU48" s="46">
        <f t="shared" si="44"/>
        <v>0</v>
      </c>
      <c r="AV48" s="41">
        <f t="shared" si="19"/>
        <v>0</v>
      </c>
      <c r="AW48" s="41">
        <f t="shared" si="20"/>
        <v>0</v>
      </c>
      <c r="AX48" s="47">
        <f t="shared" si="21"/>
        <v>0</v>
      </c>
      <c r="AY48" s="47">
        <f t="shared" si="22"/>
        <v>0</v>
      </c>
      <c r="AZ48" s="92">
        <f t="shared" si="40"/>
        <v>0</v>
      </c>
      <c r="BA48" s="82">
        <f>IF($A48=BC$20,'Construction Costs_2022'!$K$104+'Construction Costs_2022'!$K$7,0)</f>
        <v>0</v>
      </c>
      <c r="BB48" s="38">
        <f t="shared" si="41"/>
        <v>0</v>
      </c>
      <c r="BC48" s="38"/>
      <c r="BD48" s="45"/>
      <c r="BE48" s="46">
        <f t="shared" si="45"/>
        <v>0</v>
      </c>
      <c r="BF48" s="41">
        <f t="shared" si="24"/>
        <v>0</v>
      </c>
      <c r="BG48" s="41">
        <f t="shared" si="25"/>
        <v>0</v>
      </c>
      <c r="BH48" s="47">
        <f t="shared" si="26"/>
        <v>0</v>
      </c>
      <c r="BI48" s="47">
        <f t="shared" si="27"/>
        <v>0</v>
      </c>
      <c r="BJ48" s="92">
        <f t="shared" si="42"/>
        <v>0</v>
      </c>
    </row>
    <row r="49" spans="1:62" s="3" customFormat="1" ht="12.75" x14ac:dyDescent="0.2">
      <c r="A49" s="12">
        <f t="shared" si="28"/>
        <v>24</v>
      </c>
      <c r="B49" s="13">
        <f t="shared" si="29"/>
        <v>0.43795713389443836</v>
      </c>
      <c r="C49" s="82">
        <f>IF($A49=E$20,'Construction Costs_2022'!$K$22+'Construction Costs_2022'!$K$7,0)</f>
        <v>0</v>
      </c>
      <c r="D49" s="38">
        <f t="shared" si="46"/>
        <v>28800</v>
      </c>
      <c r="E49" s="38"/>
      <c r="F49" s="45"/>
      <c r="G49" s="46">
        <f t="shared" si="7"/>
        <v>28800</v>
      </c>
      <c r="H49" s="41">
        <f t="shared" si="8"/>
        <v>0</v>
      </c>
      <c r="I49" s="41">
        <f t="shared" si="8"/>
        <v>12613.165456159824</v>
      </c>
      <c r="J49" s="47">
        <f t="shared" si="8"/>
        <v>0</v>
      </c>
      <c r="K49" s="47">
        <f t="shared" si="8"/>
        <v>0</v>
      </c>
      <c r="L49" s="92">
        <f t="shared" si="30"/>
        <v>12613.165456159824</v>
      </c>
      <c r="M49" s="91">
        <f>IF($A49=O$20,'Construction Costs_2022'!$K$43+'Construction Costs_2022'!$K$7,0)</f>
        <v>0</v>
      </c>
      <c r="N49" s="38">
        <f t="shared" si="31"/>
        <v>43200</v>
      </c>
      <c r="O49" s="38"/>
      <c r="P49" s="45"/>
      <c r="Q49" s="46">
        <f t="shared" si="32"/>
        <v>43200</v>
      </c>
      <c r="R49" s="41">
        <f t="shared" si="49"/>
        <v>0</v>
      </c>
      <c r="S49" s="41">
        <f t="shared" si="47"/>
        <v>18919.748184239736</v>
      </c>
      <c r="T49" s="47">
        <f t="shared" si="48"/>
        <v>0</v>
      </c>
      <c r="U49" s="47">
        <f t="shared" si="10"/>
        <v>0</v>
      </c>
      <c r="V49" s="92">
        <f t="shared" si="33"/>
        <v>18919.748184239736</v>
      </c>
      <c r="W49" s="82">
        <f>IF($A49=Y$20,'Construction Costs_2022'!$K$64+'Construction Costs_2022'!$K$7,0)</f>
        <v>0</v>
      </c>
      <c r="X49" s="38">
        <f t="shared" si="34"/>
        <v>0</v>
      </c>
      <c r="Y49" s="38"/>
      <c r="Z49" s="45"/>
      <c r="AA49" s="46">
        <f t="shared" si="35"/>
        <v>0</v>
      </c>
      <c r="AB49" s="41">
        <f t="shared" si="50"/>
        <v>0</v>
      </c>
      <c r="AC49" s="41">
        <f t="shared" si="50"/>
        <v>0</v>
      </c>
      <c r="AD49" s="47">
        <f t="shared" si="50"/>
        <v>0</v>
      </c>
      <c r="AE49" s="47">
        <f t="shared" si="12"/>
        <v>0</v>
      </c>
      <c r="AF49" s="92">
        <f t="shared" si="36"/>
        <v>0</v>
      </c>
      <c r="AG49" s="82">
        <f>IF($A49=AI$20,'Construction Costs_2022'!$K$84+'Construction Costs_2022'!$K$7,0)</f>
        <v>0</v>
      </c>
      <c r="AH49" s="38">
        <f t="shared" si="37"/>
        <v>0</v>
      </c>
      <c r="AI49" s="38"/>
      <c r="AJ49" s="45"/>
      <c r="AK49" s="46">
        <f t="shared" si="43"/>
        <v>0</v>
      </c>
      <c r="AL49" s="41">
        <f t="shared" si="14"/>
        <v>0</v>
      </c>
      <c r="AM49" s="41">
        <f t="shared" si="15"/>
        <v>0</v>
      </c>
      <c r="AN49" s="47">
        <f t="shared" si="16"/>
        <v>0</v>
      </c>
      <c r="AO49" s="47">
        <f t="shared" si="17"/>
        <v>0</v>
      </c>
      <c r="AP49" s="92">
        <f t="shared" si="38"/>
        <v>0</v>
      </c>
      <c r="AQ49" s="82">
        <f>IF($A49=AS$20,'Construction Costs_2022'!$K$104+'Construction Costs_2022'!$K$7,0)</f>
        <v>0</v>
      </c>
      <c r="AR49" s="38">
        <f t="shared" si="39"/>
        <v>0</v>
      </c>
      <c r="AS49" s="38"/>
      <c r="AT49" s="45"/>
      <c r="AU49" s="46">
        <f t="shared" si="44"/>
        <v>0</v>
      </c>
      <c r="AV49" s="41">
        <f t="shared" si="19"/>
        <v>0</v>
      </c>
      <c r="AW49" s="41">
        <f t="shared" si="20"/>
        <v>0</v>
      </c>
      <c r="AX49" s="47">
        <f t="shared" si="21"/>
        <v>0</v>
      </c>
      <c r="AY49" s="47">
        <f t="shared" si="22"/>
        <v>0</v>
      </c>
      <c r="AZ49" s="92">
        <f t="shared" si="40"/>
        <v>0</v>
      </c>
      <c r="BA49" s="82">
        <f>IF($A49=BC$20,'Construction Costs_2022'!$K$104+'Construction Costs_2022'!$K$7,0)</f>
        <v>0</v>
      </c>
      <c r="BB49" s="38">
        <f t="shared" si="41"/>
        <v>0</v>
      </c>
      <c r="BC49" s="38"/>
      <c r="BD49" s="45"/>
      <c r="BE49" s="46">
        <f t="shared" si="45"/>
        <v>0</v>
      </c>
      <c r="BF49" s="41">
        <f t="shared" si="24"/>
        <v>0</v>
      </c>
      <c r="BG49" s="41">
        <f t="shared" si="25"/>
        <v>0</v>
      </c>
      <c r="BH49" s="47">
        <f t="shared" si="26"/>
        <v>0</v>
      </c>
      <c r="BI49" s="47">
        <f t="shared" si="27"/>
        <v>0</v>
      </c>
      <c r="BJ49" s="92">
        <f t="shared" si="42"/>
        <v>0</v>
      </c>
    </row>
    <row r="50" spans="1:62" s="3" customFormat="1" ht="12.75" x14ac:dyDescent="0.2">
      <c r="A50" s="12">
        <f t="shared" si="28"/>
        <v>25</v>
      </c>
      <c r="B50" s="13">
        <f t="shared" si="29"/>
        <v>0.42314698926998878</v>
      </c>
      <c r="C50" s="82">
        <f>IF($A50=E$20,'Construction Costs_2022'!$K$22+'Construction Costs_2022'!$K$7,0)</f>
        <v>0</v>
      </c>
      <c r="D50" s="38">
        <f t="shared" si="46"/>
        <v>28800</v>
      </c>
      <c r="E50" s="38"/>
      <c r="F50" s="45"/>
      <c r="G50" s="46">
        <f t="shared" si="7"/>
        <v>28800</v>
      </c>
      <c r="H50" s="41">
        <f t="shared" si="8"/>
        <v>0</v>
      </c>
      <c r="I50" s="41">
        <f t="shared" si="8"/>
        <v>12186.633290975677</v>
      </c>
      <c r="J50" s="47">
        <f t="shared" si="8"/>
        <v>0</v>
      </c>
      <c r="K50" s="47">
        <f t="shared" si="8"/>
        <v>0</v>
      </c>
      <c r="L50" s="92">
        <f t="shared" si="30"/>
        <v>12186.633290975677</v>
      </c>
      <c r="M50" s="91">
        <f>IF($A50=O$20,'Construction Costs_2022'!$K$43+'Construction Costs_2022'!$K$7,0)</f>
        <v>0</v>
      </c>
      <c r="N50" s="38">
        <f t="shared" si="31"/>
        <v>43200</v>
      </c>
      <c r="O50" s="38"/>
      <c r="P50" s="45"/>
      <c r="Q50" s="46">
        <f t="shared" si="32"/>
        <v>43200</v>
      </c>
      <c r="R50" s="41">
        <f t="shared" si="49"/>
        <v>0</v>
      </c>
      <c r="S50" s="41">
        <f t="shared" si="47"/>
        <v>18279.949936463516</v>
      </c>
      <c r="T50" s="47">
        <f t="shared" si="48"/>
        <v>0</v>
      </c>
      <c r="U50" s="47">
        <f t="shared" si="10"/>
        <v>0</v>
      </c>
      <c r="V50" s="92">
        <f t="shared" si="33"/>
        <v>18279.949936463516</v>
      </c>
      <c r="W50" s="82">
        <f>IF($A50=Y$20,'Construction Costs_2022'!$K$64+'Construction Costs_2022'!$K$7,0)</f>
        <v>0</v>
      </c>
      <c r="X50" s="38">
        <f t="shared" si="34"/>
        <v>0</v>
      </c>
      <c r="Y50" s="38"/>
      <c r="Z50" s="45"/>
      <c r="AA50" s="46">
        <f t="shared" si="35"/>
        <v>0</v>
      </c>
      <c r="AB50" s="41">
        <f t="shared" si="50"/>
        <v>0</v>
      </c>
      <c r="AC50" s="41">
        <f t="shared" si="50"/>
        <v>0</v>
      </c>
      <c r="AD50" s="47">
        <f t="shared" si="50"/>
        <v>0</v>
      </c>
      <c r="AE50" s="47">
        <f t="shared" si="12"/>
        <v>0</v>
      </c>
      <c r="AF50" s="92">
        <f t="shared" si="36"/>
        <v>0</v>
      </c>
      <c r="AG50" s="82">
        <f>IF($A50=AI$20,'Construction Costs_2022'!$K$84+'Construction Costs_2022'!$K$7,0)</f>
        <v>0</v>
      </c>
      <c r="AH50" s="38">
        <f t="shared" si="37"/>
        <v>0</v>
      </c>
      <c r="AI50" s="38"/>
      <c r="AJ50" s="45"/>
      <c r="AK50" s="46">
        <f t="shared" si="43"/>
        <v>0</v>
      </c>
      <c r="AL50" s="41">
        <f t="shared" si="14"/>
        <v>0</v>
      </c>
      <c r="AM50" s="41">
        <f t="shared" si="15"/>
        <v>0</v>
      </c>
      <c r="AN50" s="47">
        <f t="shared" si="16"/>
        <v>0</v>
      </c>
      <c r="AO50" s="47">
        <f t="shared" si="17"/>
        <v>0</v>
      </c>
      <c r="AP50" s="92">
        <f t="shared" si="38"/>
        <v>0</v>
      </c>
      <c r="AQ50" s="82">
        <f>IF($A50=AS$20,'Construction Costs_2022'!$K$104+'Construction Costs_2022'!$K$7,0)</f>
        <v>0</v>
      </c>
      <c r="AR50" s="38">
        <f t="shared" si="39"/>
        <v>0</v>
      </c>
      <c r="AS50" s="38"/>
      <c r="AT50" s="45"/>
      <c r="AU50" s="46">
        <f t="shared" si="44"/>
        <v>0</v>
      </c>
      <c r="AV50" s="41">
        <f t="shared" si="19"/>
        <v>0</v>
      </c>
      <c r="AW50" s="41">
        <f t="shared" si="20"/>
        <v>0</v>
      </c>
      <c r="AX50" s="47">
        <f t="shared" si="21"/>
        <v>0</v>
      </c>
      <c r="AY50" s="47">
        <f t="shared" si="22"/>
        <v>0</v>
      </c>
      <c r="AZ50" s="92">
        <f t="shared" si="40"/>
        <v>0</v>
      </c>
      <c r="BA50" s="82">
        <f>IF($A50=BC$20,'Construction Costs_2022'!$K$104+'Construction Costs_2022'!$K$7,0)</f>
        <v>0</v>
      </c>
      <c r="BB50" s="38">
        <f t="shared" si="41"/>
        <v>0</v>
      </c>
      <c r="BC50" s="38"/>
      <c r="BD50" s="45"/>
      <c r="BE50" s="46">
        <f t="shared" si="45"/>
        <v>0</v>
      </c>
      <c r="BF50" s="41">
        <f t="shared" si="24"/>
        <v>0</v>
      </c>
      <c r="BG50" s="41">
        <f t="shared" si="25"/>
        <v>0</v>
      </c>
      <c r="BH50" s="47">
        <f t="shared" si="26"/>
        <v>0</v>
      </c>
      <c r="BI50" s="47">
        <f t="shared" si="27"/>
        <v>0</v>
      </c>
      <c r="BJ50" s="92">
        <f t="shared" si="42"/>
        <v>0</v>
      </c>
    </row>
    <row r="51" spans="1:62" s="3" customFormat="1" ht="12.75" x14ac:dyDescent="0.2">
      <c r="A51" s="12">
        <f t="shared" si="28"/>
        <v>26</v>
      </c>
      <c r="B51" s="13">
        <f t="shared" si="29"/>
        <v>0.40883767079225974</v>
      </c>
      <c r="C51" s="82">
        <f>IF($A51=E$20,'Construction Costs_2022'!$K$22+'Construction Costs_2022'!$K$7,0)</f>
        <v>0</v>
      </c>
      <c r="D51" s="38">
        <f t="shared" si="46"/>
        <v>28800</v>
      </c>
      <c r="E51" s="38"/>
      <c r="F51" s="45"/>
      <c r="G51" s="46">
        <f t="shared" si="7"/>
        <v>28800</v>
      </c>
      <c r="H51" s="41">
        <f t="shared" si="8"/>
        <v>0</v>
      </c>
      <c r="I51" s="41">
        <f t="shared" si="8"/>
        <v>11774.52491881708</v>
      </c>
      <c r="J51" s="47">
        <f t="shared" si="8"/>
        <v>0</v>
      </c>
      <c r="K51" s="47">
        <f t="shared" si="8"/>
        <v>0</v>
      </c>
      <c r="L51" s="92">
        <f t="shared" si="30"/>
        <v>11774.52491881708</v>
      </c>
      <c r="M51" s="91">
        <f>IF($A51=O$20,'Construction Costs_2022'!$K$43+'Construction Costs_2022'!$K$7,0)</f>
        <v>0</v>
      </c>
      <c r="N51" s="38">
        <f t="shared" si="31"/>
        <v>43200</v>
      </c>
      <c r="O51" s="38"/>
      <c r="P51" s="45"/>
      <c r="Q51" s="46">
        <f t="shared" si="32"/>
        <v>43200</v>
      </c>
      <c r="R51" s="41">
        <f t="shared" si="49"/>
        <v>0</v>
      </c>
      <c r="S51" s="41">
        <f t="shared" si="47"/>
        <v>17661.787378225621</v>
      </c>
      <c r="T51" s="47">
        <f t="shared" si="48"/>
        <v>0</v>
      </c>
      <c r="U51" s="47">
        <f t="shared" si="10"/>
        <v>0</v>
      </c>
      <c r="V51" s="92">
        <f t="shared" si="33"/>
        <v>17661.787378225621</v>
      </c>
      <c r="W51" s="82">
        <f>IF($A51=Y$20,'Construction Costs_2022'!$K$64+'Construction Costs_2022'!$K$7,0)</f>
        <v>0</v>
      </c>
      <c r="X51" s="38">
        <f t="shared" si="34"/>
        <v>0</v>
      </c>
      <c r="Y51" s="38"/>
      <c r="Z51" s="45"/>
      <c r="AA51" s="46">
        <f t="shared" si="35"/>
        <v>0</v>
      </c>
      <c r="AB51" s="41">
        <f t="shared" si="50"/>
        <v>0</v>
      </c>
      <c r="AC51" s="41">
        <f t="shared" si="50"/>
        <v>0</v>
      </c>
      <c r="AD51" s="47">
        <f t="shared" si="50"/>
        <v>0</v>
      </c>
      <c r="AE51" s="47">
        <f t="shared" si="12"/>
        <v>0</v>
      </c>
      <c r="AF51" s="92">
        <f t="shared" si="36"/>
        <v>0</v>
      </c>
      <c r="AG51" s="82">
        <f>IF($A51=AI$20,'Construction Costs_2022'!$K$84+'Construction Costs_2022'!$K$7,0)</f>
        <v>0</v>
      </c>
      <c r="AH51" s="38">
        <f t="shared" si="37"/>
        <v>0</v>
      </c>
      <c r="AI51" s="38"/>
      <c r="AJ51" s="45"/>
      <c r="AK51" s="46">
        <f t="shared" si="43"/>
        <v>0</v>
      </c>
      <c r="AL51" s="41">
        <f t="shared" si="14"/>
        <v>0</v>
      </c>
      <c r="AM51" s="41">
        <f t="shared" si="15"/>
        <v>0</v>
      </c>
      <c r="AN51" s="47">
        <f t="shared" si="16"/>
        <v>0</v>
      </c>
      <c r="AO51" s="47">
        <f t="shared" si="17"/>
        <v>0</v>
      </c>
      <c r="AP51" s="92">
        <f t="shared" si="38"/>
        <v>0</v>
      </c>
      <c r="AQ51" s="82">
        <f>IF($A51=AS$20,'Construction Costs_2022'!$K$104+'Construction Costs_2022'!$K$7,0)</f>
        <v>0</v>
      </c>
      <c r="AR51" s="38">
        <f t="shared" si="39"/>
        <v>0</v>
      </c>
      <c r="AS51" s="38"/>
      <c r="AT51" s="45"/>
      <c r="AU51" s="46">
        <f t="shared" si="44"/>
        <v>0</v>
      </c>
      <c r="AV51" s="41">
        <f t="shared" si="19"/>
        <v>0</v>
      </c>
      <c r="AW51" s="41">
        <f t="shared" si="20"/>
        <v>0</v>
      </c>
      <c r="AX51" s="47">
        <f t="shared" si="21"/>
        <v>0</v>
      </c>
      <c r="AY51" s="47">
        <f t="shared" si="22"/>
        <v>0</v>
      </c>
      <c r="AZ51" s="92">
        <f t="shared" si="40"/>
        <v>0</v>
      </c>
      <c r="BA51" s="82">
        <f>IF($A51=BC$20,'Construction Costs_2022'!$K$104+'Construction Costs_2022'!$K$7,0)</f>
        <v>0</v>
      </c>
      <c r="BB51" s="38">
        <f t="shared" si="41"/>
        <v>0</v>
      </c>
      <c r="BC51" s="38"/>
      <c r="BD51" s="45"/>
      <c r="BE51" s="46">
        <f t="shared" si="45"/>
        <v>0</v>
      </c>
      <c r="BF51" s="41">
        <f t="shared" si="24"/>
        <v>0</v>
      </c>
      <c r="BG51" s="41">
        <f t="shared" si="25"/>
        <v>0</v>
      </c>
      <c r="BH51" s="47">
        <f t="shared" si="26"/>
        <v>0</v>
      </c>
      <c r="BI51" s="47">
        <f t="shared" si="27"/>
        <v>0</v>
      </c>
      <c r="BJ51" s="92">
        <f t="shared" si="42"/>
        <v>0</v>
      </c>
    </row>
    <row r="52" spans="1:62" s="3" customFormat="1" ht="12.75" x14ac:dyDescent="0.2">
      <c r="A52" s="12">
        <f t="shared" si="28"/>
        <v>27</v>
      </c>
      <c r="B52" s="13">
        <f t="shared" si="29"/>
        <v>0.39501224231136212</v>
      </c>
      <c r="C52" s="82">
        <f>IF($A52=E$20,'Construction Costs_2022'!$K$22+'Construction Costs_2022'!$K$7,0)</f>
        <v>0</v>
      </c>
      <c r="D52" s="38">
        <f t="shared" si="46"/>
        <v>28800</v>
      </c>
      <c r="E52" s="38"/>
      <c r="F52" s="45"/>
      <c r="G52" s="46">
        <f t="shared" si="7"/>
        <v>28800</v>
      </c>
      <c r="H52" s="41">
        <f t="shared" si="8"/>
        <v>0</v>
      </c>
      <c r="I52" s="41">
        <f t="shared" si="8"/>
        <v>11376.352578567228</v>
      </c>
      <c r="J52" s="47">
        <f t="shared" si="8"/>
        <v>0</v>
      </c>
      <c r="K52" s="47">
        <f t="shared" si="8"/>
        <v>0</v>
      </c>
      <c r="L52" s="92">
        <f t="shared" si="30"/>
        <v>11376.352578567228</v>
      </c>
      <c r="M52" s="91">
        <f>IF($A52=O$20,'Construction Costs_2022'!$K$43+'Construction Costs_2022'!$K$7,0)</f>
        <v>0</v>
      </c>
      <c r="N52" s="38">
        <f t="shared" si="31"/>
        <v>43200</v>
      </c>
      <c r="O52" s="38"/>
      <c r="P52" s="45"/>
      <c r="Q52" s="46">
        <f t="shared" si="32"/>
        <v>43200</v>
      </c>
      <c r="R52" s="41">
        <f t="shared" si="49"/>
        <v>0</v>
      </c>
      <c r="S52" s="41">
        <f t="shared" si="47"/>
        <v>17064.528867850844</v>
      </c>
      <c r="T52" s="47">
        <f t="shared" si="48"/>
        <v>0</v>
      </c>
      <c r="U52" s="47">
        <f t="shared" si="10"/>
        <v>0</v>
      </c>
      <c r="V52" s="92">
        <f t="shared" si="33"/>
        <v>17064.528867850844</v>
      </c>
      <c r="W52" s="82">
        <f>IF($A52=Y$20,'Construction Costs_2022'!$K$64+'Construction Costs_2022'!$K$7,0)</f>
        <v>0</v>
      </c>
      <c r="X52" s="38">
        <f t="shared" si="34"/>
        <v>86400</v>
      </c>
      <c r="Y52" s="38"/>
      <c r="Z52" s="45"/>
      <c r="AA52" s="46">
        <f t="shared" si="35"/>
        <v>86400</v>
      </c>
      <c r="AB52" s="41">
        <f t="shared" si="50"/>
        <v>0</v>
      </c>
      <c r="AC52" s="41">
        <f t="shared" si="50"/>
        <v>34129.057735701688</v>
      </c>
      <c r="AD52" s="47">
        <f t="shared" si="50"/>
        <v>0</v>
      </c>
      <c r="AE52" s="47">
        <f t="shared" si="12"/>
        <v>0</v>
      </c>
      <c r="AF52" s="92">
        <f t="shared" si="36"/>
        <v>34129.057735701688</v>
      </c>
      <c r="AG52" s="82">
        <f>IF($A52=AI$20,'Construction Costs_2022'!$K$84+'Construction Costs_2022'!$K$7,0)</f>
        <v>0</v>
      </c>
      <c r="AH52" s="38">
        <f t="shared" si="37"/>
        <v>100800</v>
      </c>
      <c r="AI52" s="38"/>
      <c r="AJ52" s="45"/>
      <c r="AK52" s="46">
        <f t="shared" si="43"/>
        <v>100800</v>
      </c>
      <c r="AL52" s="41">
        <f t="shared" si="14"/>
        <v>0</v>
      </c>
      <c r="AM52" s="41">
        <f t="shared" si="15"/>
        <v>39817.2340249853</v>
      </c>
      <c r="AN52" s="47">
        <f t="shared" si="16"/>
        <v>0</v>
      </c>
      <c r="AO52" s="47">
        <f t="shared" si="17"/>
        <v>0</v>
      </c>
      <c r="AP52" s="92">
        <f t="shared" si="38"/>
        <v>39817.2340249853</v>
      </c>
      <c r="AQ52" s="82">
        <f>IF($A52=AS$20,'Construction Costs_2022'!$K$104+'Construction Costs_2022'!$K$7,0)</f>
        <v>0</v>
      </c>
      <c r="AR52" s="38">
        <f t="shared" si="39"/>
        <v>57600</v>
      </c>
      <c r="AS52" s="38"/>
      <c r="AT52" s="45"/>
      <c r="AU52" s="46">
        <f t="shared" si="44"/>
        <v>57600</v>
      </c>
      <c r="AV52" s="41">
        <f t="shared" si="19"/>
        <v>0</v>
      </c>
      <c r="AW52" s="41">
        <f t="shared" si="20"/>
        <v>22752.705157134456</v>
      </c>
      <c r="AX52" s="47">
        <f t="shared" si="21"/>
        <v>0</v>
      </c>
      <c r="AY52" s="47">
        <f t="shared" si="22"/>
        <v>0</v>
      </c>
      <c r="AZ52" s="92">
        <f t="shared" si="40"/>
        <v>22752.705157134456</v>
      </c>
      <c r="BA52" s="82">
        <f>IF($A52=BC$20,'Construction Costs_2022'!$K$104+'Construction Costs_2022'!$K$7,0)</f>
        <v>0</v>
      </c>
      <c r="BB52" s="38">
        <f t="shared" si="41"/>
        <v>86400</v>
      </c>
      <c r="BC52" s="38"/>
      <c r="BD52" s="45"/>
      <c r="BE52" s="46">
        <f t="shared" si="45"/>
        <v>86400</v>
      </c>
      <c r="BF52" s="41">
        <f t="shared" si="24"/>
        <v>0</v>
      </c>
      <c r="BG52" s="41">
        <f t="shared" si="25"/>
        <v>34129.057735701688</v>
      </c>
      <c r="BH52" s="47">
        <f t="shared" si="26"/>
        <v>0</v>
      </c>
      <c r="BI52" s="47">
        <f t="shared" si="27"/>
        <v>0</v>
      </c>
      <c r="BJ52" s="92">
        <f t="shared" si="42"/>
        <v>34129.057735701688</v>
      </c>
    </row>
    <row r="53" spans="1:62" s="3" customFormat="1" ht="12.75" x14ac:dyDescent="0.2">
      <c r="A53" s="12">
        <f t="shared" si="28"/>
        <v>28</v>
      </c>
      <c r="B53" s="13">
        <f t="shared" si="29"/>
        <v>0.38165434039745133</v>
      </c>
      <c r="C53" s="82">
        <f>IF($A53=E$20,'Construction Costs_2022'!$K$22+'Construction Costs_2022'!$K$7,0)</f>
        <v>0</v>
      </c>
      <c r="D53" s="38">
        <f t="shared" si="46"/>
        <v>28800</v>
      </c>
      <c r="E53" s="38"/>
      <c r="F53" s="45"/>
      <c r="G53" s="46">
        <f t="shared" si="7"/>
        <v>28800</v>
      </c>
      <c r="H53" s="41">
        <f t="shared" si="8"/>
        <v>0</v>
      </c>
      <c r="I53" s="41">
        <f t="shared" si="8"/>
        <v>10991.645003446598</v>
      </c>
      <c r="J53" s="47">
        <f t="shared" si="8"/>
        <v>0</v>
      </c>
      <c r="K53" s="47">
        <f t="shared" si="8"/>
        <v>0</v>
      </c>
      <c r="L53" s="92">
        <f t="shared" si="30"/>
        <v>10991.645003446598</v>
      </c>
      <c r="M53" s="91">
        <f>IF($A53=O$20,'Construction Costs_2022'!$K$43+'Construction Costs_2022'!$K$7,0)</f>
        <v>0</v>
      </c>
      <c r="N53" s="38">
        <f t="shared" si="31"/>
        <v>43200</v>
      </c>
      <c r="O53" s="38"/>
      <c r="P53" s="45"/>
      <c r="Q53" s="46">
        <f t="shared" si="32"/>
        <v>43200</v>
      </c>
      <c r="R53" s="41">
        <f t="shared" si="49"/>
        <v>0</v>
      </c>
      <c r="S53" s="41">
        <f t="shared" si="47"/>
        <v>16487.467505169898</v>
      </c>
      <c r="T53" s="47">
        <f t="shared" si="48"/>
        <v>0</v>
      </c>
      <c r="U53" s="47">
        <f t="shared" si="10"/>
        <v>0</v>
      </c>
      <c r="V53" s="92">
        <f t="shared" si="33"/>
        <v>16487.467505169898</v>
      </c>
      <c r="W53" s="82">
        <f>IF($A53=Y$20,'Construction Costs_2022'!$K$64+'Construction Costs_2022'!$K$7,0)</f>
        <v>0</v>
      </c>
      <c r="X53" s="38">
        <f t="shared" si="34"/>
        <v>0</v>
      </c>
      <c r="Y53" s="38"/>
      <c r="Z53" s="45"/>
      <c r="AA53" s="46">
        <f t="shared" si="35"/>
        <v>0</v>
      </c>
      <c r="AB53" s="41">
        <f t="shared" si="50"/>
        <v>0</v>
      </c>
      <c r="AC53" s="41">
        <f t="shared" si="50"/>
        <v>0</v>
      </c>
      <c r="AD53" s="47">
        <f t="shared" si="50"/>
        <v>0</v>
      </c>
      <c r="AE53" s="47">
        <f t="shared" si="12"/>
        <v>0</v>
      </c>
      <c r="AF53" s="92">
        <f t="shared" si="36"/>
        <v>0</v>
      </c>
      <c r="AG53" s="82">
        <f>IF($A53=AI$20,'Construction Costs_2022'!$K$84+'Construction Costs_2022'!$K$7,0)</f>
        <v>0</v>
      </c>
      <c r="AH53" s="38">
        <f t="shared" si="37"/>
        <v>0</v>
      </c>
      <c r="AI53" s="38"/>
      <c r="AJ53" s="45"/>
      <c r="AK53" s="46">
        <f t="shared" si="43"/>
        <v>0</v>
      </c>
      <c r="AL53" s="41">
        <f t="shared" si="14"/>
        <v>0</v>
      </c>
      <c r="AM53" s="41">
        <f t="shared" si="15"/>
        <v>0</v>
      </c>
      <c r="AN53" s="47">
        <f t="shared" si="16"/>
        <v>0</v>
      </c>
      <c r="AO53" s="47">
        <f t="shared" si="17"/>
        <v>0</v>
      </c>
      <c r="AP53" s="92">
        <f t="shared" si="38"/>
        <v>0</v>
      </c>
      <c r="AQ53" s="82">
        <f>IF($A53=AS$20,'Construction Costs_2022'!$K$104+'Construction Costs_2022'!$K$7,0)</f>
        <v>0</v>
      </c>
      <c r="AR53" s="38">
        <f t="shared" si="39"/>
        <v>0</v>
      </c>
      <c r="AS53" s="38"/>
      <c r="AT53" s="45"/>
      <c r="AU53" s="46">
        <f t="shared" si="44"/>
        <v>0</v>
      </c>
      <c r="AV53" s="41">
        <f t="shared" si="19"/>
        <v>0</v>
      </c>
      <c r="AW53" s="41">
        <f t="shared" si="20"/>
        <v>0</v>
      </c>
      <c r="AX53" s="47">
        <f t="shared" si="21"/>
        <v>0</v>
      </c>
      <c r="AY53" s="47">
        <f t="shared" si="22"/>
        <v>0</v>
      </c>
      <c r="AZ53" s="92">
        <f t="shared" si="40"/>
        <v>0</v>
      </c>
      <c r="BA53" s="82">
        <f>IF($A53=BC$20,'Construction Costs_2022'!$K$104+'Construction Costs_2022'!$K$7,0)</f>
        <v>0</v>
      </c>
      <c r="BB53" s="38">
        <f t="shared" si="41"/>
        <v>0</v>
      </c>
      <c r="BC53" s="38"/>
      <c r="BD53" s="45"/>
      <c r="BE53" s="46">
        <f t="shared" si="45"/>
        <v>0</v>
      </c>
      <c r="BF53" s="41">
        <f t="shared" si="24"/>
        <v>0</v>
      </c>
      <c r="BG53" s="41">
        <f t="shared" si="25"/>
        <v>0</v>
      </c>
      <c r="BH53" s="47">
        <f t="shared" si="26"/>
        <v>0</v>
      </c>
      <c r="BI53" s="47">
        <f t="shared" si="27"/>
        <v>0</v>
      </c>
      <c r="BJ53" s="92">
        <f t="shared" si="42"/>
        <v>0</v>
      </c>
    </row>
    <row r="54" spans="1:62" s="3" customFormat="1" ht="12.75" x14ac:dyDescent="0.2">
      <c r="A54" s="12">
        <f t="shared" si="28"/>
        <v>29</v>
      </c>
      <c r="B54" s="13">
        <f t="shared" si="29"/>
        <v>0.36874815497338298</v>
      </c>
      <c r="C54" s="82">
        <f>IF($A54=E$20,'Construction Costs_2022'!$K$22+'Construction Costs_2022'!$K$7,0)</f>
        <v>0</v>
      </c>
      <c r="D54" s="38">
        <f t="shared" si="46"/>
        <v>28800</v>
      </c>
      <c r="E54" s="38"/>
      <c r="F54" s="45"/>
      <c r="G54" s="46">
        <f t="shared" si="7"/>
        <v>28800</v>
      </c>
      <c r="H54" s="41">
        <f t="shared" si="8"/>
        <v>0</v>
      </c>
      <c r="I54" s="41">
        <f t="shared" si="8"/>
        <v>10619.94686323343</v>
      </c>
      <c r="J54" s="47">
        <f t="shared" si="8"/>
        <v>0</v>
      </c>
      <c r="K54" s="47">
        <f t="shared" si="8"/>
        <v>0</v>
      </c>
      <c r="L54" s="92">
        <f t="shared" si="30"/>
        <v>10619.94686323343</v>
      </c>
      <c r="M54" s="91">
        <f>IF($A54=O$20,'Construction Costs_2022'!$K$43+'Construction Costs_2022'!$K$7,0)</f>
        <v>0</v>
      </c>
      <c r="N54" s="38">
        <f t="shared" si="31"/>
        <v>43200</v>
      </c>
      <c r="O54" s="38"/>
      <c r="P54" s="45"/>
      <c r="Q54" s="46">
        <f t="shared" si="32"/>
        <v>43200</v>
      </c>
      <c r="R54" s="41">
        <f t="shared" si="49"/>
        <v>0</v>
      </c>
      <c r="S54" s="41">
        <f t="shared" si="47"/>
        <v>15929.920294850144</v>
      </c>
      <c r="T54" s="47">
        <f t="shared" si="48"/>
        <v>0</v>
      </c>
      <c r="U54" s="47">
        <f t="shared" si="10"/>
        <v>0</v>
      </c>
      <c r="V54" s="92">
        <f t="shared" si="33"/>
        <v>15929.920294850144</v>
      </c>
      <c r="W54" s="82">
        <f>IF($A54=Y$20,'Construction Costs_2022'!$K$64+'Construction Costs_2022'!$K$7,0)</f>
        <v>0</v>
      </c>
      <c r="X54" s="38">
        <f t="shared" si="34"/>
        <v>0</v>
      </c>
      <c r="Y54" s="38"/>
      <c r="Z54" s="45"/>
      <c r="AA54" s="46">
        <f t="shared" si="35"/>
        <v>0</v>
      </c>
      <c r="AB54" s="41">
        <f t="shared" si="50"/>
        <v>0</v>
      </c>
      <c r="AC54" s="41">
        <f t="shared" si="50"/>
        <v>0</v>
      </c>
      <c r="AD54" s="47">
        <f t="shared" si="50"/>
        <v>0</v>
      </c>
      <c r="AE54" s="47">
        <f t="shared" si="12"/>
        <v>0</v>
      </c>
      <c r="AF54" s="92">
        <f t="shared" si="36"/>
        <v>0</v>
      </c>
      <c r="AG54" s="82">
        <f>IF($A54=AI$20,'Construction Costs_2022'!$K$84+'Construction Costs_2022'!$K$7,0)</f>
        <v>0</v>
      </c>
      <c r="AH54" s="38">
        <f t="shared" si="37"/>
        <v>0</v>
      </c>
      <c r="AI54" s="38"/>
      <c r="AJ54" s="45"/>
      <c r="AK54" s="46">
        <f t="shared" si="43"/>
        <v>0</v>
      </c>
      <c r="AL54" s="41">
        <f t="shared" si="14"/>
        <v>0</v>
      </c>
      <c r="AM54" s="41">
        <f t="shared" si="15"/>
        <v>0</v>
      </c>
      <c r="AN54" s="47">
        <f t="shared" si="16"/>
        <v>0</v>
      </c>
      <c r="AO54" s="47">
        <f t="shared" si="17"/>
        <v>0</v>
      </c>
      <c r="AP54" s="92">
        <f t="shared" si="38"/>
        <v>0</v>
      </c>
      <c r="AQ54" s="82">
        <f>IF($A54=AS$20,'Construction Costs_2022'!$K$104+'Construction Costs_2022'!$K$7,0)</f>
        <v>0</v>
      </c>
      <c r="AR54" s="38">
        <f t="shared" si="39"/>
        <v>0</v>
      </c>
      <c r="AS54" s="38"/>
      <c r="AT54" s="45"/>
      <c r="AU54" s="46">
        <f t="shared" si="44"/>
        <v>0</v>
      </c>
      <c r="AV54" s="41">
        <f t="shared" si="19"/>
        <v>0</v>
      </c>
      <c r="AW54" s="41">
        <f t="shared" si="20"/>
        <v>0</v>
      </c>
      <c r="AX54" s="47">
        <f t="shared" si="21"/>
        <v>0</v>
      </c>
      <c r="AY54" s="47">
        <f t="shared" si="22"/>
        <v>0</v>
      </c>
      <c r="AZ54" s="92">
        <f t="shared" si="40"/>
        <v>0</v>
      </c>
      <c r="BA54" s="82">
        <f>IF($A54=BC$20,'Construction Costs_2022'!$K$104+'Construction Costs_2022'!$K$7,0)</f>
        <v>0</v>
      </c>
      <c r="BB54" s="38">
        <f t="shared" si="41"/>
        <v>0</v>
      </c>
      <c r="BC54" s="38"/>
      <c r="BD54" s="45"/>
      <c r="BE54" s="46">
        <f t="shared" si="45"/>
        <v>0</v>
      </c>
      <c r="BF54" s="41">
        <f t="shared" si="24"/>
        <v>0</v>
      </c>
      <c r="BG54" s="41">
        <f t="shared" si="25"/>
        <v>0</v>
      </c>
      <c r="BH54" s="47">
        <f t="shared" si="26"/>
        <v>0</v>
      </c>
      <c r="BI54" s="47">
        <f t="shared" si="27"/>
        <v>0</v>
      </c>
      <c r="BJ54" s="92">
        <f t="shared" si="42"/>
        <v>0</v>
      </c>
    </row>
    <row r="55" spans="1:62" s="3" customFormat="1" ht="12.75" x14ac:dyDescent="0.2">
      <c r="A55" s="12">
        <f t="shared" si="28"/>
        <v>30</v>
      </c>
      <c r="B55" s="13">
        <f t="shared" si="29"/>
        <v>0.35627841060230242</v>
      </c>
      <c r="C55" s="82">
        <f>IF($A55=E$20,'Construction Costs_2022'!$K$22+'Construction Costs_2022'!$K$7,0)</f>
        <v>0</v>
      </c>
      <c r="D55" s="38">
        <f t="shared" si="46"/>
        <v>28800</v>
      </c>
      <c r="E55" s="38"/>
      <c r="F55" s="45"/>
      <c r="G55" s="46">
        <f t="shared" si="7"/>
        <v>28800</v>
      </c>
      <c r="H55" s="41">
        <f t="shared" si="8"/>
        <v>0</v>
      </c>
      <c r="I55" s="41">
        <f t="shared" si="8"/>
        <v>10260.818225346309</v>
      </c>
      <c r="J55" s="47">
        <f t="shared" si="8"/>
        <v>0</v>
      </c>
      <c r="K55" s="47">
        <f t="shared" si="8"/>
        <v>0</v>
      </c>
      <c r="L55" s="92">
        <f t="shared" si="30"/>
        <v>10260.818225346309</v>
      </c>
      <c r="M55" s="91">
        <f>IF($A55=O$20,'Construction Costs_2022'!$K$43+'Construction Costs_2022'!$K$7,0)</f>
        <v>0</v>
      </c>
      <c r="N55" s="38">
        <f t="shared" si="31"/>
        <v>43200</v>
      </c>
      <c r="O55" s="38"/>
      <c r="P55" s="45"/>
      <c r="Q55" s="46">
        <f t="shared" si="32"/>
        <v>43200</v>
      </c>
      <c r="R55" s="41">
        <f t="shared" si="49"/>
        <v>0</v>
      </c>
      <c r="S55" s="41">
        <f t="shared" si="47"/>
        <v>15391.227338019464</v>
      </c>
      <c r="T55" s="47">
        <f t="shared" si="48"/>
        <v>0</v>
      </c>
      <c r="U55" s="47">
        <f t="shared" si="10"/>
        <v>0</v>
      </c>
      <c r="V55" s="92">
        <f t="shared" si="33"/>
        <v>15391.227338019464</v>
      </c>
      <c r="W55" s="82">
        <f>IF($A55=Y$20,'Construction Costs_2022'!$K$64+'Construction Costs_2022'!$K$7,0)</f>
        <v>0</v>
      </c>
      <c r="X55" s="38">
        <f t="shared" si="34"/>
        <v>0</v>
      </c>
      <c r="Y55" s="38"/>
      <c r="Z55" s="45"/>
      <c r="AA55" s="46">
        <f t="shared" si="35"/>
        <v>0</v>
      </c>
      <c r="AB55" s="41">
        <f t="shared" si="50"/>
        <v>0</v>
      </c>
      <c r="AC55" s="41">
        <f t="shared" si="50"/>
        <v>0</v>
      </c>
      <c r="AD55" s="47">
        <f t="shared" si="50"/>
        <v>0</v>
      </c>
      <c r="AE55" s="47">
        <f t="shared" si="12"/>
        <v>0</v>
      </c>
      <c r="AF55" s="92">
        <f t="shared" si="36"/>
        <v>0</v>
      </c>
      <c r="AG55" s="82">
        <f>IF($A55=AI$20,'Construction Costs_2022'!$K$84+'Construction Costs_2022'!$K$7,0)</f>
        <v>0</v>
      </c>
      <c r="AH55" s="38">
        <f t="shared" si="37"/>
        <v>0</v>
      </c>
      <c r="AI55" s="38"/>
      <c r="AJ55" s="45"/>
      <c r="AK55" s="46">
        <f t="shared" si="43"/>
        <v>0</v>
      </c>
      <c r="AL55" s="41">
        <f t="shared" si="14"/>
        <v>0</v>
      </c>
      <c r="AM55" s="41">
        <f t="shared" si="15"/>
        <v>0</v>
      </c>
      <c r="AN55" s="47">
        <f t="shared" si="16"/>
        <v>0</v>
      </c>
      <c r="AO55" s="47">
        <f t="shared" si="17"/>
        <v>0</v>
      </c>
      <c r="AP55" s="92">
        <f t="shared" si="38"/>
        <v>0</v>
      </c>
      <c r="AQ55" s="82">
        <f>IF($A55=AS$20,'Construction Costs_2022'!$K$104+'Construction Costs_2022'!$K$7,0)</f>
        <v>0</v>
      </c>
      <c r="AR55" s="38">
        <f t="shared" si="39"/>
        <v>0</v>
      </c>
      <c r="AS55" s="38"/>
      <c r="AT55" s="45"/>
      <c r="AU55" s="46">
        <f t="shared" si="44"/>
        <v>0</v>
      </c>
      <c r="AV55" s="41">
        <f t="shared" si="19"/>
        <v>0</v>
      </c>
      <c r="AW55" s="41">
        <f t="shared" si="20"/>
        <v>0</v>
      </c>
      <c r="AX55" s="47">
        <f t="shared" si="21"/>
        <v>0</v>
      </c>
      <c r="AY55" s="47">
        <f t="shared" si="22"/>
        <v>0</v>
      </c>
      <c r="AZ55" s="92">
        <f t="shared" si="40"/>
        <v>0</v>
      </c>
      <c r="BA55" s="82">
        <f>IF($A55=BC$20,'Construction Costs_2022'!$K$104+'Construction Costs_2022'!$K$7,0)</f>
        <v>0</v>
      </c>
      <c r="BB55" s="38">
        <f t="shared" si="41"/>
        <v>0</v>
      </c>
      <c r="BC55" s="38"/>
      <c r="BD55" s="45"/>
      <c r="BE55" s="46">
        <f t="shared" si="45"/>
        <v>0</v>
      </c>
      <c r="BF55" s="41">
        <f t="shared" si="24"/>
        <v>0</v>
      </c>
      <c r="BG55" s="41">
        <f t="shared" si="25"/>
        <v>0</v>
      </c>
      <c r="BH55" s="47">
        <f t="shared" si="26"/>
        <v>0</v>
      </c>
      <c r="BI55" s="47">
        <f t="shared" si="27"/>
        <v>0</v>
      </c>
      <c r="BJ55" s="92">
        <f t="shared" si="42"/>
        <v>0</v>
      </c>
    </row>
    <row r="56" spans="1:62" s="3" customFormat="1" ht="12.75" x14ac:dyDescent="0.2">
      <c r="A56" s="12">
        <f t="shared" si="28"/>
        <v>31</v>
      </c>
      <c r="B56" s="13">
        <f t="shared" ref="B56:B100" si="51">B55/(1+$D$9-0.5%)</f>
        <v>0.34590136951679845</v>
      </c>
      <c r="C56" s="82">
        <f>IF($A56=E$20,'Construction Costs_2022'!$K$22+'Construction Costs_2022'!$K$7,0)</f>
        <v>0</v>
      </c>
      <c r="D56" s="38">
        <f t="shared" si="46"/>
        <v>28800</v>
      </c>
      <c r="E56" s="38"/>
      <c r="F56" s="45"/>
      <c r="G56" s="46">
        <f t="shared" si="7"/>
        <v>28800</v>
      </c>
      <c r="H56" s="41">
        <f t="shared" si="8"/>
        <v>0</v>
      </c>
      <c r="I56" s="41">
        <f t="shared" si="8"/>
        <v>9961.9594420837948</v>
      </c>
      <c r="J56" s="47">
        <f t="shared" si="8"/>
        <v>0</v>
      </c>
      <c r="K56" s="47">
        <f t="shared" si="8"/>
        <v>0</v>
      </c>
      <c r="L56" s="92">
        <f t="shared" si="30"/>
        <v>9961.9594420837948</v>
      </c>
      <c r="M56" s="91">
        <f>IF($A56=O$20,'Construction Costs_2022'!$K$43+'Construction Costs_2022'!$K$7,0)</f>
        <v>0</v>
      </c>
      <c r="N56" s="38">
        <f t="shared" si="31"/>
        <v>43200</v>
      </c>
      <c r="O56" s="38"/>
      <c r="P56" s="45"/>
      <c r="Q56" s="46">
        <f t="shared" si="32"/>
        <v>43200</v>
      </c>
      <c r="R56" s="41">
        <f t="shared" si="49"/>
        <v>0</v>
      </c>
      <c r="S56" s="41">
        <f t="shared" si="47"/>
        <v>14942.939163125693</v>
      </c>
      <c r="T56" s="47">
        <f t="shared" si="48"/>
        <v>0</v>
      </c>
      <c r="U56" s="47">
        <f t="shared" si="10"/>
        <v>0</v>
      </c>
      <c r="V56" s="92">
        <f t="shared" si="33"/>
        <v>14942.939163125693</v>
      </c>
      <c r="W56" s="82">
        <f>IF($A56=Y$20,'Construction Costs_2022'!$K$64+'Construction Costs_2022'!$K$7,0)</f>
        <v>0</v>
      </c>
      <c r="X56" s="38">
        <f t="shared" si="34"/>
        <v>0</v>
      </c>
      <c r="Y56" s="38"/>
      <c r="Z56" s="45"/>
      <c r="AA56" s="46">
        <f t="shared" si="35"/>
        <v>0</v>
      </c>
      <c r="AB56" s="41">
        <f t="shared" si="50"/>
        <v>0</v>
      </c>
      <c r="AC56" s="41">
        <f t="shared" si="50"/>
        <v>0</v>
      </c>
      <c r="AD56" s="47">
        <f t="shared" si="50"/>
        <v>0</v>
      </c>
      <c r="AE56" s="47">
        <f t="shared" si="12"/>
        <v>0</v>
      </c>
      <c r="AF56" s="92">
        <f t="shared" si="36"/>
        <v>0</v>
      </c>
      <c r="AG56" s="82">
        <f>IF($A56=AI$20,'Construction Costs_2022'!$K$84+'Construction Costs_2022'!$K$7,0)</f>
        <v>0</v>
      </c>
      <c r="AH56" s="38">
        <f t="shared" si="37"/>
        <v>0</v>
      </c>
      <c r="AI56" s="38"/>
      <c r="AJ56" s="45"/>
      <c r="AK56" s="46">
        <f t="shared" si="43"/>
        <v>0</v>
      </c>
      <c r="AL56" s="41">
        <f t="shared" si="14"/>
        <v>0</v>
      </c>
      <c r="AM56" s="41">
        <f t="shared" si="15"/>
        <v>0</v>
      </c>
      <c r="AN56" s="47">
        <f t="shared" si="16"/>
        <v>0</v>
      </c>
      <c r="AO56" s="47">
        <f t="shared" si="17"/>
        <v>0</v>
      </c>
      <c r="AP56" s="92">
        <f t="shared" si="38"/>
        <v>0</v>
      </c>
      <c r="AQ56" s="82">
        <f>IF($A56=AS$20,'Construction Costs_2022'!$K$104+'Construction Costs_2022'!$K$7,0)</f>
        <v>0</v>
      </c>
      <c r="AR56" s="38">
        <f t="shared" si="39"/>
        <v>0</v>
      </c>
      <c r="AS56" s="38"/>
      <c r="AT56" s="45"/>
      <c r="AU56" s="46">
        <f t="shared" si="44"/>
        <v>0</v>
      </c>
      <c r="AV56" s="41">
        <f t="shared" si="19"/>
        <v>0</v>
      </c>
      <c r="AW56" s="41">
        <f t="shared" si="20"/>
        <v>0</v>
      </c>
      <c r="AX56" s="47">
        <f t="shared" si="21"/>
        <v>0</v>
      </c>
      <c r="AY56" s="47">
        <f t="shared" si="22"/>
        <v>0</v>
      </c>
      <c r="AZ56" s="92">
        <f t="shared" si="40"/>
        <v>0</v>
      </c>
      <c r="BA56" s="82">
        <f>IF($A56=BC$20,'Construction Costs_2022'!$K$104+'Construction Costs_2022'!$K$7,0)</f>
        <v>0</v>
      </c>
      <c r="BB56" s="38">
        <f t="shared" si="41"/>
        <v>0</v>
      </c>
      <c r="BC56" s="38"/>
      <c r="BD56" s="45"/>
      <c r="BE56" s="46">
        <f t="shared" si="45"/>
        <v>0</v>
      </c>
      <c r="BF56" s="41">
        <f t="shared" si="24"/>
        <v>0</v>
      </c>
      <c r="BG56" s="41">
        <f t="shared" si="25"/>
        <v>0</v>
      </c>
      <c r="BH56" s="47">
        <f t="shared" si="26"/>
        <v>0</v>
      </c>
      <c r="BI56" s="47">
        <f t="shared" si="27"/>
        <v>0</v>
      </c>
      <c r="BJ56" s="92">
        <f t="shared" si="42"/>
        <v>0</v>
      </c>
    </row>
    <row r="57" spans="1:62" s="3" customFormat="1" ht="12.75" x14ac:dyDescent="0.2">
      <c r="A57" s="12">
        <f t="shared" si="28"/>
        <v>32</v>
      </c>
      <c r="B57" s="13">
        <f t="shared" si="51"/>
        <v>0.33582657234640628</v>
      </c>
      <c r="C57" s="82">
        <f>IF($A57=E$20,'Construction Costs_2022'!$K$22+'Construction Costs_2022'!$K$7,0)</f>
        <v>0</v>
      </c>
      <c r="D57" s="38">
        <f t="shared" si="46"/>
        <v>1401900</v>
      </c>
      <c r="E57" s="38"/>
      <c r="F57" s="45"/>
      <c r="G57" s="46">
        <f t="shared" ref="G57:G88" si="52">SUM(C57:F57)</f>
        <v>1401900</v>
      </c>
      <c r="H57" s="41">
        <f t="shared" ref="H57:K88" si="53">C57*$B57</f>
        <v>0</v>
      </c>
      <c r="I57" s="41">
        <f>D57*$B57</f>
        <v>470795.27177242696</v>
      </c>
      <c r="J57" s="47">
        <f t="shared" si="53"/>
        <v>0</v>
      </c>
      <c r="K57" s="47">
        <f t="shared" si="53"/>
        <v>0</v>
      </c>
      <c r="L57" s="92">
        <f t="shared" si="30"/>
        <v>470795.27177242696</v>
      </c>
      <c r="M57" s="91">
        <f>IF($A57=O$20,'Construction Costs_2022'!$K$43+'Construction Costs_2022'!$K$7,0)</f>
        <v>0</v>
      </c>
      <c r="N57" s="38">
        <f t="shared" si="31"/>
        <v>1307840</v>
      </c>
      <c r="O57" s="38"/>
      <c r="P57" s="45"/>
      <c r="Q57" s="46">
        <f t="shared" ref="Q57:Q88" si="54">SUM(M57:P57)</f>
        <v>1307840</v>
      </c>
      <c r="R57" s="41">
        <f t="shared" si="49"/>
        <v>0</v>
      </c>
      <c r="S57" s="41">
        <f>N57*$B57</f>
        <v>439207.424377524</v>
      </c>
      <c r="T57" s="47">
        <f t="shared" si="48"/>
        <v>0</v>
      </c>
      <c r="U57" s="47">
        <f t="shared" si="10"/>
        <v>0</v>
      </c>
      <c r="V57" s="92">
        <f t="shared" si="33"/>
        <v>439207.424377524</v>
      </c>
      <c r="W57" s="82">
        <f>IF($A57=Y$20,'Construction Costs_2022'!$K$64+'Construction Costs_2022'!$K$7,0)</f>
        <v>0</v>
      </c>
      <c r="X57" s="38">
        <f t="shared" si="34"/>
        <v>1019280</v>
      </c>
      <c r="Y57" s="38"/>
      <c r="Z57" s="45"/>
      <c r="AA57" s="46">
        <f t="shared" ref="AA57:AA88" si="55">SUM(W57:Z57)</f>
        <v>1019280</v>
      </c>
      <c r="AB57" s="41">
        <f t="shared" si="50"/>
        <v>0</v>
      </c>
      <c r="AC57" s="41">
        <f t="shared" si="50"/>
        <v>342301.30866124498</v>
      </c>
      <c r="AD57" s="47">
        <f t="shared" si="50"/>
        <v>0</v>
      </c>
      <c r="AE57" s="47">
        <f t="shared" si="12"/>
        <v>0</v>
      </c>
      <c r="AF57" s="92">
        <f t="shared" si="36"/>
        <v>342301.30866124498</v>
      </c>
      <c r="AG57" s="82">
        <f>IF($A57=AI$20,'Construction Costs_2022'!$K$84+'Construction Costs_2022'!$K$7,0)</f>
        <v>0</v>
      </c>
      <c r="AH57" s="38">
        <f t="shared" si="37"/>
        <v>976260</v>
      </c>
      <c r="AI57" s="38"/>
      <c r="AJ57" s="45"/>
      <c r="AK57" s="46">
        <f t="shared" ref="AK57:AK120" si="56">SUM(AG57:AJ57)</f>
        <v>976260</v>
      </c>
      <c r="AL57" s="41">
        <f t="shared" si="14"/>
        <v>0</v>
      </c>
      <c r="AM57" s="41">
        <f t="shared" si="15"/>
        <v>327854.04951890261</v>
      </c>
      <c r="AN57" s="47">
        <f t="shared" si="16"/>
        <v>0</v>
      </c>
      <c r="AO57" s="47">
        <f t="shared" si="17"/>
        <v>0</v>
      </c>
      <c r="AP57" s="92">
        <f t="shared" si="38"/>
        <v>327854.04951890261</v>
      </c>
      <c r="AQ57" s="82">
        <f>IF($A57=AS$20,'Construction Costs_2022'!$K$104+'Construction Costs_2022'!$K$7,0)</f>
        <v>0</v>
      </c>
      <c r="AR57" s="38">
        <f t="shared" si="39"/>
        <v>1105320</v>
      </c>
      <c r="AS57" s="38"/>
      <c r="AT57" s="45"/>
      <c r="AU57" s="46">
        <f t="shared" ref="AU57:AU120" si="57">SUM(AQ57:AT57)</f>
        <v>1105320</v>
      </c>
      <c r="AV57" s="41">
        <f t="shared" si="19"/>
        <v>0</v>
      </c>
      <c r="AW57" s="41">
        <f t="shared" si="20"/>
        <v>371195.82694592979</v>
      </c>
      <c r="AX57" s="47">
        <f t="shared" si="21"/>
        <v>0</v>
      </c>
      <c r="AY57" s="47">
        <f t="shared" si="22"/>
        <v>0</v>
      </c>
      <c r="AZ57" s="92">
        <f t="shared" si="40"/>
        <v>371195.82694592979</v>
      </c>
      <c r="BA57" s="82">
        <f>IF($A57=BC$20,'Construction Costs_2022'!$K$104+'Construction Costs_2022'!$K$7,0)</f>
        <v>0</v>
      </c>
      <c r="BB57" s="38">
        <f t="shared" si="41"/>
        <v>301530</v>
      </c>
      <c r="BC57" s="38"/>
      <c r="BD57" s="45"/>
      <c r="BE57" s="46">
        <f t="shared" si="45"/>
        <v>301530</v>
      </c>
      <c r="BF57" s="41">
        <f t="shared" si="24"/>
        <v>0</v>
      </c>
      <c r="BG57" s="41">
        <f t="shared" si="25"/>
        <v>101261.78635961188</v>
      </c>
      <c r="BH57" s="47">
        <f t="shared" si="26"/>
        <v>0</v>
      </c>
      <c r="BI57" s="47">
        <f t="shared" si="27"/>
        <v>0</v>
      </c>
      <c r="BJ57" s="92">
        <f t="shared" si="42"/>
        <v>101261.78635961188</v>
      </c>
    </row>
    <row r="58" spans="1:62" s="3" customFormat="1" ht="12.75" x14ac:dyDescent="0.2">
      <c r="A58" s="12">
        <f t="shared" si="28"/>
        <v>33</v>
      </c>
      <c r="B58" s="13">
        <f t="shared" si="51"/>
        <v>0.32604521587029733</v>
      </c>
      <c r="C58" s="82">
        <f>IF($A58=E$20,'Construction Costs_2022'!$K$22+'Construction Costs_2022'!$K$7,0)</f>
        <v>0</v>
      </c>
      <c r="D58" s="38">
        <f t="shared" si="46"/>
        <v>28800</v>
      </c>
      <c r="E58" s="38"/>
      <c r="F58" s="45"/>
      <c r="G58" s="46">
        <f t="shared" si="52"/>
        <v>28800</v>
      </c>
      <c r="H58" s="41">
        <f t="shared" si="53"/>
        <v>0</v>
      </c>
      <c r="I58" s="41">
        <f t="shared" si="53"/>
        <v>9390.1022170645629</v>
      </c>
      <c r="J58" s="47">
        <f t="shared" si="53"/>
        <v>0</v>
      </c>
      <c r="K58" s="47">
        <f t="shared" si="53"/>
        <v>0</v>
      </c>
      <c r="L58" s="92">
        <f t="shared" si="30"/>
        <v>9390.1022170645629</v>
      </c>
      <c r="M58" s="91">
        <f>IF($A58=O$20,'Construction Costs_2022'!$K$43+'Construction Costs_2022'!$K$7,0)</f>
        <v>0</v>
      </c>
      <c r="N58" s="38">
        <f t="shared" si="31"/>
        <v>43200</v>
      </c>
      <c r="O58" s="38"/>
      <c r="P58" s="45"/>
      <c r="Q58" s="46">
        <f t="shared" si="54"/>
        <v>43200</v>
      </c>
      <c r="R58" s="41">
        <f t="shared" si="49"/>
        <v>0</v>
      </c>
      <c r="S58" s="41">
        <f t="shared" si="47"/>
        <v>14085.153325596844</v>
      </c>
      <c r="T58" s="47">
        <f t="shared" si="48"/>
        <v>0</v>
      </c>
      <c r="U58" s="47">
        <f t="shared" si="10"/>
        <v>0</v>
      </c>
      <c r="V58" s="92">
        <f t="shared" si="33"/>
        <v>14085.153325596844</v>
      </c>
      <c r="W58" s="82">
        <f>IF($A58=Y$20,'Construction Costs_2022'!$K$64+'Construction Costs_2022'!$K$7,0)</f>
        <v>0</v>
      </c>
      <c r="X58" s="38">
        <f t="shared" si="34"/>
        <v>0</v>
      </c>
      <c r="Y58" s="38"/>
      <c r="Z58" s="45"/>
      <c r="AA58" s="46">
        <f t="shared" si="55"/>
        <v>0</v>
      </c>
      <c r="AB58" s="41">
        <f t="shared" si="50"/>
        <v>0</v>
      </c>
      <c r="AC58" s="41">
        <f t="shared" si="50"/>
        <v>0</v>
      </c>
      <c r="AD58" s="47">
        <f t="shared" si="50"/>
        <v>0</v>
      </c>
      <c r="AE58" s="47">
        <f t="shared" si="12"/>
        <v>0</v>
      </c>
      <c r="AF58" s="92">
        <f t="shared" si="36"/>
        <v>0</v>
      </c>
      <c r="AG58" s="82">
        <f>IF($A58=AI$20,'Construction Costs_2022'!$K$84+'Construction Costs_2022'!$K$7,0)</f>
        <v>0</v>
      </c>
      <c r="AH58" s="38">
        <f t="shared" si="37"/>
        <v>0</v>
      </c>
      <c r="AI58" s="38"/>
      <c r="AJ58" s="45"/>
      <c r="AK58" s="46">
        <f t="shared" si="56"/>
        <v>0</v>
      </c>
      <c r="AL58" s="41">
        <f t="shared" si="14"/>
        <v>0</v>
      </c>
      <c r="AM58" s="41">
        <f t="shared" si="15"/>
        <v>0</v>
      </c>
      <c r="AN58" s="47">
        <f t="shared" si="16"/>
        <v>0</v>
      </c>
      <c r="AO58" s="47">
        <f t="shared" si="17"/>
        <v>0</v>
      </c>
      <c r="AP58" s="92">
        <f t="shared" si="38"/>
        <v>0</v>
      </c>
      <c r="AQ58" s="82">
        <f>IF($A58=AS$20,'Construction Costs_2022'!$K$104+'Construction Costs_2022'!$K$7,0)</f>
        <v>0</v>
      </c>
      <c r="AR58" s="38">
        <f t="shared" si="39"/>
        <v>0</v>
      </c>
      <c r="AS58" s="38"/>
      <c r="AT58" s="45"/>
      <c r="AU58" s="46">
        <f t="shared" si="57"/>
        <v>0</v>
      </c>
      <c r="AV58" s="41">
        <f t="shared" si="19"/>
        <v>0</v>
      </c>
      <c r="AW58" s="41">
        <f t="shared" si="20"/>
        <v>0</v>
      </c>
      <c r="AX58" s="47">
        <f t="shared" si="21"/>
        <v>0</v>
      </c>
      <c r="AY58" s="47">
        <f t="shared" si="22"/>
        <v>0</v>
      </c>
      <c r="AZ58" s="92">
        <f t="shared" si="40"/>
        <v>0</v>
      </c>
      <c r="BA58" s="82">
        <f>IF($A58=BC$20,'Construction Costs_2022'!$K$104+'Construction Costs_2022'!$K$7,0)</f>
        <v>0</v>
      </c>
      <c r="BB58" s="38">
        <f t="shared" si="41"/>
        <v>0</v>
      </c>
      <c r="BC58" s="38"/>
      <c r="BD58" s="45"/>
      <c r="BE58" s="46">
        <f t="shared" si="45"/>
        <v>0</v>
      </c>
      <c r="BF58" s="41">
        <f t="shared" si="24"/>
        <v>0</v>
      </c>
      <c r="BG58" s="41">
        <f t="shared" si="25"/>
        <v>0</v>
      </c>
      <c r="BH58" s="47">
        <f t="shared" si="26"/>
        <v>0</v>
      </c>
      <c r="BI58" s="47">
        <f t="shared" si="27"/>
        <v>0</v>
      </c>
      <c r="BJ58" s="92">
        <f t="shared" si="42"/>
        <v>0</v>
      </c>
    </row>
    <row r="59" spans="1:62" s="3" customFormat="1" ht="12.75" x14ac:dyDescent="0.2">
      <c r="A59" s="12">
        <f t="shared" si="28"/>
        <v>34</v>
      </c>
      <c r="B59" s="13">
        <f t="shared" si="51"/>
        <v>0.31654875327213333</v>
      </c>
      <c r="C59" s="82">
        <f>IF($A59=E$20,'Construction Costs_2022'!$K$22+'Construction Costs_2022'!$K$7,0)</f>
        <v>0</v>
      </c>
      <c r="D59" s="38">
        <f t="shared" si="46"/>
        <v>28800</v>
      </c>
      <c r="E59" s="38"/>
      <c r="F59" s="45"/>
      <c r="G59" s="46">
        <f t="shared" si="52"/>
        <v>28800</v>
      </c>
      <c r="H59" s="41">
        <f t="shared" si="53"/>
        <v>0</v>
      </c>
      <c r="I59" s="41">
        <f t="shared" si="53"/>
        <v>9116.6040942374402</v>
      </c>
      <c r="J59" s="47">
        <f t="shared" si="53"/>
        <v>0</v>
      </c>
      <c r="K59" s="47">
        <f t="shared" si="53"/>
        <v>0</v>
      </c>
      <c r="L59" s="92">
        <f t="shared" si="30"/>
        <v>9116.6040942374402</v>
      </c>
      <c r="M59" s="91">
        <f>IF($A59=O$20,'Construction Costs_2022'!$K$43+'Construction Costs_2022'!$K$7,0)</f>
        <v>0</v>
      </c>
      <c r="N59" s="38">
        <f t="shared" si="31"/>
        <v>43200</v>
      </c>
      <c r="O59" s="38"/>
      <c r="P59" s="45"/>
      <c r="Q59" s="46">
        <f t="shared" si="54"/>
        <v>43200</v>
      </c>
      <c r="R59" s="41">
        <f t="shared" si="49"/>
        <v>0</v>
      </c>
      <c r="S59" s="41">
        <f t="shared" si="47"/>
        <v>13674.906141356159</v>
      </c>
      <c r="T59" s="47">
        <f t="shared" si="48"/>
        <v>0</v>
      </c>
      <c r="U59" s="47">
        <f t="shared" si="10"/>
        <v>0</v>
      </c>
      <c r="V59" s="92">
        <f t="shared" si="33"/>
        <v>13674.906141356159</v>
      </c>
      <c r="W59" s="82">
        <f>IF($A59=Y$20,'Construction Costs_2022'!$K$64+'Construction Costs_2022'!$K$7,0)</f>
        <v>0</v>
      </c>
      <c r="X59" s="38">
        <f t="shared" si="34"/>
        <v>0</v>
      </c>
      <c r="Y59" s="38"/>
      <c r="Z59" s="45"/>
      <c r="AA59" s="46">
        <f t="shared" si="55"/>
        <v>0</v>
      </c>
      <c r="AB59" s="41">
        <f t="shared" si="50"/>
        <v>0</v>
      </c>
      <c r="AC59" s="41">
        <f t="shared" si="50"/>
        <v>0</v>
      </c>
      <c r="AD59" s="47">
        <f t="shared" si="50"/>
        <v>0</v>
      </c>
      <c r="AE59" s="47">
        <f t="shared" si="12"/>
        <v>0</v>
      </c>
      <c r="AF59" s="92">
        <f t="shared" si="36"/>
        <v>0</v>
      </c>
      <c r="AG59" s="82">
        <f>IF($A59=AI$20,'Construction Costs_2022'!$K$84+'Construction Costs_2022'!$K$7,0)</f>
        <v>0</v>
      </c>
      <c r="AH59" s="38">
        <f t="shared" si="37"/>
        <v>0</v>
      </c>
      <c r="AI59" s="38"/>
      <c r="AJ59" s="45"/>
      <c r="AK59" s="46">
        <f t="shared" si="56"/>
        <v>0</v>
      </c>
      <c r="AL59" s="41">
        <f t="shared" si="14"/>
        <v>0</v>
      </c>
      <c r="AM59" s="41">
        <f t="shared" si="15"/>
        <v>0</v>
      </c>
      <c r="AN59" s="47">
        <f t="shared" si="16"/>
        <v>0</v>
      </c>
      <c r="AO59" s="47">
        <f t="shared" si="17"/>
        <v>0</v>
      </c>
      <c r="AP59" s="92">
        <f t="shared" si="38"/>
        <v>0</v>
      </c>
      <c r="AQ59" s="82">
        <f>IF($A59=AS$20,'Construction Costs_2022'!$K$104+'Construction Costs_2022'!$K$7,0)</f>
        <v>0</v>
      </c>
      <c r="AR59" s="38">
        <f t="shared" si="39"/>
        <v>0</v>
      </c>
      <c r="AS59" s="38"/>
      <c r="AT59" s="45"/>
      <c r="AU59" s="46">
        <f t="shared" si="57"/>
        <v>0</v>
      </c>
      <c r="AV59" s="41">
        <f t="shared" si="19"/>
        <v>0</v>
      </c>
      <c r="AW59" s="41">
        <f t="shared" si="20"/>
        <v>0</v>
      </c>
      <c r="AX59" s="47">
        <f t="shared" si="21"/>
        <v>0</v>
      </c>
      <c r="AY59" s="47">
        <f t="shared" si="22"/>
        <v>0</v>
      </c>
      <c r="AZ59" s="92">
        <f t="shared" si="40"/>
        <v>0</v>
      </c>
      <c r="BA59" s="82">
        <f>IF($A59=BC$20,'Construction Costs_2022'!$K$104+'Construction Costs_2022'!$K$7,0)</f>
        <v>0</v>
      </c>
      <c r="BB59" s="38">
        <f t="shared" si="41"/>
        <v>0</v>
      </c>
      <c r="BC59" s="38"/>
      <c r="BD59" s="45"/>
      <c r="BE59" s="46">
        <f t="shared" si="45"/>
        <v>0</v>
      </c>
      <c r="BF59" s="41">
        <f t="shared" si="24"/>
        <v>0</v>
      </c>
      <c r="BG59" s="41">
        <f t="shared" si="25"/>
        <v>0</v>
      </c>
      <c r="BH59" s="47">
        <f t="shared" si="26"/>
        <v>0</v>
      </c>
      <c r="BI59" s="47">
        <f t="shared" si="27"/>
        <v>0</v>
      </c>
      <c r="BJ59" s="92">
        <f t="shared" si="42"/>
        <v>0</v>
      </c>
    </row>
    <row r="60" spans="1:62" s="3" customFormat="1" ht="12.75" x14ac:dyDescent="0.2">
      <c r="A60" s="12">
        <f t="shared" si="28"/>
        <v>35</v>
      </c>
      <c r="B60" s="13">
        <f t="shared" si="51"/>
        <v>0.30732888667197411</v>
      </c>
      <c r="C60" s="82">
        <f>IF($A60=E$20,'Construction Costs_2022'!$K$22+'Construction Costs_2022'!$K$7,0)</f>
        <v>0</v>
      </c>
      <c r="D60" s="38">
        <f t="shared" si="46"/>
        <v>28800</v>
      </c>
      <c r="E60" s="38"/>
      <c r="F60" s="45"/>
      <c r="G60" s="46">
        <f t="shared" si="52"/>
        <v>28800</v>
      </c>
      <c r="H60" s="41">
        <f t="shared" si="53"/>
        <v>0</v>
      </c>
      <c r="I60" s="41">
        <f t="shared" si="53"/>
        <v>8851.0719361528536</v>
      </c>
      <c r="J60" s="47">
        <f t="shared" si="53"/>
        <v>0</v>
      </c>
      <c r="K60" s="47">
        <f t="shared" si="53"/>
        <v>0</v>
      </c>
      <c r="L60" s="92">
        <f t="shared" si="30"/>
        <v>8851.0719361528536</v>
      </c>
      <c r="M60" s="91">
        <f>IF($A60=O$20,'Construction Costs_2022'!$K$43+'Construction Costs_2022'!$K$7,0)</f>
        <v>0</v>
      </c>
      <c r="N60" s="38">
        <f t="shared" si="31"/>
        <v>43200</v>
      </c>
      <c r="O60" s="38"/>
      <c r="P60" s="45"/>
      <c r="Q60" s="46">
        <f t="shared" si="54"/>
        <v>43200</v>
      </c>
      <c r="R60" s="41">
        <f t="shared" si="49"/>
        <v>0</v>
      </c>
      <c r="S60" s="41">
        <f t="shared" si="47"/>
        <v>13276.607904229282</v>
      </c>
      <c r="T60" s="47">
        <f t="shared" si="48"/>
        <v>0</v>
      </c>
      <c r="U60" s="47">
        <f t="shared" si="10"/>
        <v>0</v>
      </c>
      <c r="V60" s="92">
        <f t="shared" si="33"/>
        <v>13276.607904229282</v>
      </c>
      <c r="W60" s="82">
        <f>IF($A60=Y$20,'Construction Costs_2022'!$K$64+'Construction Costs_2022'!$K$7,0)</f>
        <v>0</v>
      </c>
      <c r="X60" s="38">
        <f t="shared" si="34"/>
        <v>0</v>
      </c>
      <c r="Y60" s="38"/>
      <c r="Z60" s="45"/>
      <c r="AA60" s="46">
        <f t="shared" si="55"/>
        <v>0</v>
      </c>
      <c r="AB60" s="41">
        <f t="shared" si="50"/>
        <v>0</v>
      </c>
      <c r="AC60" s="41">
        <f t="shared" si="50"/>
        <v>0</v>
      </c>
      <c r="AD60" s="47">
        <f t="shared" si="50"/>
        <v>0</v>
      </c>
      <c r="AE60" s="47">
        <f t="shared" si="12"/>
        <v>0</v>
      </c>
      <c r="AF60" s="92">
        <f t="shared" si="36"/>
        <v>0</v>
      </c>
      <c r="AG60" s="82">
        <f>IF($A60=AI$20,'Construction Costs_2022'!$K$84+'Construction Costs_2022'!$K$7,0)</f>
        <v>0</v>
      </c>
      <c r="AH60" s="38">
        <f t="shared" si="37"/>
        <v>0</v>
      </c>
      <c r="AI60" s="38"/>
      <c r="AJ60" s="45"/>
      <c r="AK60" s="46">
        <f t="shared" si="56"/>
        <v>0</v>
      </c>
      <c r="AL60" s="41">
        <f t="shared" si="14"/>
        <v>0</v>
      </c>
      <c r="AM60" s="41">
        <f t="shared" si="15"/>
        <v>0</v>
      </c>
      <c r="AN60" s="47">
        <f t="shared" si="16"/>
        <v>0</v>
      </c>
      <c r="AO60" s="47">
        <f t="shared" si="17"/>
        <v>0</v>
      </c>
      <c r="AP60" s="92">
        <f t="shared" si="38"/>
        <v>0</v>
      </c>
      <c r="AQ60" s="82">
        <f>IF($A60=AS$20,'Construction Costs_2022'!$K$104+'Construction Costs_2022'!$K$7,0)</f>
        <v>0</v>
      </c>
      <c r="AR60" s="38">
        <f t="shared" si="39"/>
        <v>0</v>
      </c>
      <c r="AS60" s="38"/>
      <c r="AT60" s="45"/>
      <c r="AU60" s="46">
        <f t="shared" si="57"/>
        <v>0</v>
      </c>
      <c r="AV60" s="41">
        <f t="shared" si="19"/>
        <v>0</v>
      </c>
      <c r="AW60" s="41">
        <f t="shared" si="20"/>
        <v>0</v>
      </c>
      <c r="AX60" s="47">
        <f t="shared" si="21"/>
        <v>0</v>
      </c>
      <c r="AY60" s="47">
        <f t="shared" si="22"/>
        <v>0</v>
      </c>
      <c r="AZ60" s="92">
        <f t="shared" si="40"/>
        <v>0</v>
      </c>
      <c r="BA60" s="82">
        <f>IF($A60=BC$20,'Construction Costs_2022'!$K$104+'Construction Costs_2022'!$K$7,0)</f>
        <v>0</v>
      </c>
      <c r="BB60" s="38">
        <f t="shared" si="41"/>
        <v>0</v>
      </c>
      <c r="BC60" s="38"/>
      <c r="BD60" s="45"/>
      <c r="BE60" s="46">
        <f t="shared" si="45"/>
        <v>0</v>
      </c>
      <c r="BF60" s="41">
        <f t="shared" si="24"/>
        <v>0</v>
      </c>
      <c r="BG60" s="41">
        <f t="shared" si="25"/>
        <v>0</v>
      </c>
      <c r="BH60" s="47">
        <f t="shared" si="26"/>
        <v>0</v>
      </c>
      <c r="BI60" s="47">
        <f t="shared" si="27"/>
        <v>0</v>
      </c>
      <c r="BJ60" s="92">
        <f t="shared" si="42"/>
        <v>0</v>
      </c>
    </row>
    <row r="61" spans="1:62" s="3" customFormat="1" ht="12.75" x14ac:dyDescent="0.2">
      <c r="A61" s="12">
        <f t="shared" si="28"/>
        <v>36</v>
      </c>
      <c r="B61" s="13">
        <f t="shared" si="51"/>
        <v>0.29837755987570302</v>
      </c>
      <c r="C61" s="82">
        <f>IF($A61=E$20,'Construction Costs_2022'!$K$22+'Construction Costs_2022'!$K$7,0)</f>
        <v>0</v>
      </c>
      <c r="D61" s="38">
        <f t="shared" si="46"/>
        <v>28800</v>
      </c>
      <c r="E61" s="38"/>
      <c r="F61" s="45"/>
      <c r="G61" s="46">
        <f t="shared" si="52"/>
        <v>28800</v>
      </c>
      <c r="H61" s="41">
        <f t="shared" si="53"/>
        <v>0</v>
      </c>
      <c r="I61" s="41">
        <f t="shared" si="53"/>
        <v>8593.2737244202472</v>
      </c>
      <c r="J61" s="47">
        <f t="shared" si="53"/>
        <v>0</v>
      </c>
      <c r="K61" s="47">
        <f t="shared" si="53"/>
        <v>0</v>
      </c>
      <c r="L61" s="92">
        <f t="shared" si="30"/>
        <v>8593.2737244202472</v>
      </c>
      <c r="M61" s="91">
        <f>IF($A61=O$20,'Construction Costs_2022'!$K$43+'Construction Costs_2022'!$K$7,0)</f>
        <v>0</v>
      </c>
      <c r="N61" s="38">
        <f t="shared" si="31"/>
        <v>43200</v>
      </c>
      <c r="O61" s="38"/>
      <c r="P61" s="45"/>
      <c r="Q61" s="46">
        <f t="shared" si="54"/>
        <v>43200</v>
      </c>
      <c r="R61" s="41">
        <f t="shared" si="49"/>
        <v>0</v>
      </c>
      <c r="S61" s="41">
        <f t="shared" si="47"/>
        <v>12889.910586630371</v>
      </c>
      <c r="T61" s="47">
        <f t="shared" si="48"/>
        <v>0</v>
      </c>
      <c r="U61" s="47">
        <f t="shared" si="10"/>
        <v>0</v>
      </c>
      <c r="V61" s="92">
        <f t="shared" si="33"/>
        <v>12889.910586630371</v>
      </c>
      <c r="W61" s="82">
        <f>IF($A61=Y$20,'Construction Costs_2022'!$K$64+'Construction Costs_2022'!$K$7,0)</f>
        <v>0</v>
      </c>
      <c r="X61" s="38">
        <f t="shared" si="34"/>
        <v>0</v>
      </c>
      <c r="Y61" s="38"/>
      <c r="Z61" s="45"/>
      <c r="AA61" s="46">
        <f t="shared" si="55"/>
        <v>0</v>
      </c>
      <c r="AB61" s="41">
        <f t="shared" si="50"/>
        <v>0</v>
      </c>
      <c r="AC61" s="41">
        <f t="shared" si="50"/>
        <v>0</v>
      </c>
      <c r="AD61" s="47">
        <f t="shared" si="50"/>
        <v>0</v>
      </c>
      <c r="AE61" s="47">
        <f t="shared" si="12"/>
        <v>0</v>
      </c>
      <c r="AF61" s="92">
        <f t="shared" si="36"/>
        <v>0</v>
      </c>
      <c r="AG61" s="82">
        <f>IF($A61=AI$20,'Construction Costs_2022'!$K$84+'Construction Costs_2022'!$K$7,0)</f>
        <v>0</v>
      </c>
      <c r="AH61" s="38">
        <f t="shared" si="37"/>
        <v>0</v>
      </c>
      <c r="AI61" s="38"/>
      <c r="AJ61" s="45"/>
      <c r="AK61" s="46">
        <f t="shared" si="56"/>
        <v>0</v>
      </c>
      <c r="AL61" s="41">
        <f t="shared" si="14"/>
        <v>0</v>
      </c>
      <c r="AM61" s="41">
        <f t="shared" si="15"/>
        <v>0</v>
      </c>
      <c r="AN61" s="47">
        <f t="shared" si="16"/>
        <v>0</v>
      </c>
      <c r="AO61" s="47">
        <f t="shared" si="17"/>
        <v>0</v>
      </c>
      <c r="AP61" s="92">
        <f t="shared" si="38"/>
        <v>0</v>
      </c>
      <c r="AQ61" s="82">
        <f>IF($A61=AS$20,'Construction Costs_2022'!$K$104+'Construction Costs_2022'!$K$7,0)</f>
        <v>0</v>
      </c>
      <c r="AR61" s="38">
        <f t="shared" si="39"/>
        <v>0</v>
      </c>
      <c r="AS61" s="38"/>
      <c r="AT61" s="45"/>
      <c r="AU61" s="46">
        <f t="shared" si="57"/>
        <v>0</v>
      </c>
      <c r="AV61" s="41">
        <f t="shared" si="19"/>
        <v>0</v>
      </c>
      <c r="AW61" s="41">
        <f t="shared" si="20"/>
        <v>0</v>
      </c>
      <c r="AX61" s="47">
        <f t="shared" si="21"/>
        <v>0</v>
      </c>
      <c r="AY61" s="47">
        <f t="shared" si="22"/>
        <v>0</v>
      </c>
      <c r="AZ61" s="92">
        <f t="shared" si="40"/>
        <v>0</v>
      </c>
      <c r="BA61" s="82">
        <f>IF($A61=BC$20,'Construction Costs_2022'!$K$104+'Construction Costs_2022'!$K$7,0)</f>
        <v>0</v>
      </c>
      <c r="BB61" s="38">
        <f t="shared" si="41"/>
        <v>0</v>
      </c>
      <c r="BC61" s="38"/>
      <c r="BD61" s="45"/>
      <c r="BE61" s="46">
        <f t="shared" si="45"/>
        <v>0</v>
      </c>
      <c r="BF61" s="41">
        <f t="shared" si="24"/>
        <v>0</v>
      </c>
      <c r="BG61" s="41">
        <f t="shared" si="25"/>
        <v>0</v>
      </c>
      <c r="BH61" s="47">
        <f t="shared" si="26"/>
        <v>0</v>
      </c>
      <c r="BI61" s="47">
        <f t="shared" si="27"/>
        <v>0</v>
      </c>
      <c r="BJ61" s="92">
        <f t="shared" si="42"/>
        <v>0</v>
      </c>
    </row>
    <row r="62" spans="1:62" s="3" customFormat="1" ht="12.75" x14ac:dyDescent="0.2">
      <c r="A62" s="12">
        <f t="shared" si="28"/>
        <v>37</v>
      </c>
      <c r="B62" s="13">
        <f t="shared" si="51"/>
        <v>0.28968695133563399</v>
      </c>
      <c r="C62" s="82">
        <f>IF($A62=E$20,'Construction Costs_2022'!$K$22+'Construction Costs_2022'!$K$7,0)</f>
        <v>0</v>
      </c>
      <c r="D62" s="38">
        <f t="shared" si="46"/>
        <v>28800</v>
      </c>
      <c r="E62" s="38"/>
      <c r="F62" s="45"/>
      <c r="G62" s="46">
        <f t="shared" si="52"/>
        <v>28800</v>
      </c>
      <c r="H62" s="41">
        <f t="shared" si="53"/>
        <v>0</v>
      </c>
      <c r="I62" s="41">
        <f t="shared" si="53"/>
        <v>8342.9841984662598</v>
      </c>
      <c r="J62" s="47">
        <f t="shared" si="53"/>
        <v>0</v>
      </c>
      <c r="K62" s="47">
        <f t="shared" si="53"/>
        <v>0</v>
      </c>
      <c r="L62" s="92">
        <f t="shared" si="30"/>
        <v>8342.9841984662598</v>
      </c>
      <c r="M62" s="91">
        <f>IF($A62=O$20,'Construction Costs_2022'!$K$43+'Construction Costs_2022'!$K$7,0)</f>
        <v>0</v>
      </c>
      <c r="N62" s="38">
        <f t="shared" si="31"/>
        <v>43200</v>
      </c>
      <c r="O62" s="38"/>
      <c r="P62" s="45"/>
      <c r="Q62" s="46">
        <f t="shared" si="54"/>
        <v>43200</v>
      </c>
      <c r="R62" s="41">
        <f t="shared" si="49"/>
        <v>0</v>
      </c>
      <c r="S62" s="41">
        <f t="shared" si="47"/>
        <v>12514.476297699388</v>
      </c>
      <c r="T62" s="47">
        <f t="shared" si="48"/>
        <v>0</v>
      </c>
      <c r="U62" s="47">
        <f t="shared" si="10"/>
        <v>0</v>
      </c>
      <c r="V62" s="92">
        <f t="shared" si="33"/>
        <v>12514.476297699388</v>
      </c>
      <c r="W62" s="82">
        <f>IF($A62=Y$20,'Construction Costs_2022'!$K$64+'Construction Costs_2022'!$K$7,0)</f>
        <v>0</v>
      </c>
      <c r="X62" s="38">
        <f t="shared" si="34"/>
        <v>86400</v>
      </c>
      <c r="Y62" s="38"/>
      <c r="Z62" s="45"/>
      <c r="AA62" s="46">
        <f t="shared" si="55"/>
        <v>86400</v>
      </c>
      <c r="AB62" s="41">
        <f t="shared" si="50"/>
        <v>0</v>
      </c>
      <c r="AC62" s="41">
        <f t="shared" si="50"/>
        <v>25028.952595398776</v>
      </c>
      <c r="AD62" s="47">
        <f t="shared" si="50"/>
        <v>0</v>
      </c>
      <c r="AE62" s="47">
        <f t="shared" si="12"/>
        <v>0</v>
      </c>
      <c r="AF62" s="92">
        <f t="shared" si="36"/>
        <v>25028.952595398776</v>
      </c>
      <c r="AG62" s="82">
        <f>IF($A62=AI$20,'Construction Costs_2022'!$K$84+'Construction Costs_2022'!$K$7,0)</f>
        <v>0</v>
      </c>
      <c r="AH62" s="38">
        <f t="shared" si="37"/>
        <v>100800</v>
      </c>
      <c r="AI62" s="38"/>
      <c r="AJ62" s="45"/>
      <c r="AK62" s="46">
        <f t="shared" si="56"/>
        <v>100800</v>
      </c>
      <c r="AL62" s="41">
        <f t="shared" si="14"/>
        <v>0</v>
      </c>
      <c r="AM62" s="41">
        <f t="shared" si="15"/>
        <v>29200.444694631908</v>
      </c>
      <c r="AN62" s="47">
        <f t="shared" si="16"/>
        <v>0</v>
      </c>
      <c r="AO62" s="47">
        <f t="shared" si="17"/>
        <v>0</v>
      </c>
      <c r="AP62" s="92">
        <f t="shared" si="38"/>
        <v>29200.444694631908</v>
      </c>
      <c r="AQ62" s="82">
        <f>IF($A62=AS$20,'Construction Costs_2022'!$K$104+'Construction Costs_2022'!$K$7,0)</f>
        <v>0</v>
      </c>
      <c r="AR62" s="38">
        <f t="shared" si="39"/>
        <v>57600</v>
      </c>
      <c r="AS62" s="38"/>
      <c r="AT62" s="45"/>
      <c r="AU62" s="46">
        <f t="shared" si="57"/>
        <v>57600</v>
      </c>
      <c r="AV62" s="41">
        <f t="shared" si="19"/>
        <v>0</v>
      </c>
      <c r="AW62" s="41">
        <f t="shared" si="20"/>
        <v>16685.96839693252</v>
      </c>
      <c r="AX62" s="47">
        <f t="shared" si="21"/>
        <v>0</v>
      </c>
      <c r="AY62" s="47">
        <f t="shared" si="22"/>
        <v>0</v>
      </c>
      <c r="AZ62" s="92">
        <f t="shared" si="40"/>
        <v>16685.96839693252</v>
      </c>
      <c r="BA62" s="82">
        <f>IF($A62=BC$20,'Construction Costs_2022'!$K$104+'Construction Costs_2022'!$K$7,0)</f>
        <v>0</v>
      </c>
      <c r="BB62" s="38">
        <f t="shared" si="41"/>
        <v>86400</v>
      </c>
      <c r="BC62" s="38"/>
      <c r="BD62" s="45"/>
      <c r="BE62" s="46">
        <f t="shared" si="45"/>
        <v>86400</v>
      </c>
      <c r="BF62" s="41">
        <f t="shared" si="24"/>
        <v>0</v>
      </c>
      <c r="BG62" s="41">
        <f t="shared" si="25"/>
        <v>25028.952595398776</v>
      </c>
      <c r="BH62" s="47">
        <f t="shared" si="26"/>
        <v>0</v>
      </c>
      <c r="BI62" s="47">
        <f t="shared" si="27"/>
        <v>0</v>
      </c>
      <c r="BJ62" s="92">
        <f t="shared" si="42"/>
        <v>25028.952595398776</v>
      </c>
    </row>
    <row r="63" spans="1:62" s="3" customFormat="1" ht="12.75" x14ac:dyDescent="0.2">
      <c r="A63" s="12">
        <f t="shared" si="28"/>
        <v>38</v>
      </c>
      <c r="B63" s="13">
        <f t="shared" si="51"/>
        <v>0.28124946731614953</v>
      </c>
      <c r="C63" s="82">
        <f>IF($A63=E$20,'Construction Costs_2022'!$K$22+'Construction Costs_2022'!$K$7,0)</f>
        <v>0</v>
      </c>
      <c r="D63" s="38">
        <f t="shared" si="46"/>
        <v>28800</v>
      </c>
      <c r="E63" s="38"/>
      <c r="F63" s="45"/>
      <c r="G63" s="46">
        <f t="shared" si="52"/>
        <v>28800</v>
      </c>
      <c r="H63" s="41">
        <f t="shared" si="53"/>
        <v>0</v>
      </c>
      <c r="I63" s="41">
        <f t="shared" si="53"/>
        <v>8099.9846587051061</v>
      </c>
      <c r="J63" s="47">
        <f t="shared" si="53"/>
        <v>0</v>
      </c>
      <c r="K63" s="47">
        <f t="shared" si="53"/>
        <v>0</v>
      </c>
      <c r="L63" s="92">
        <f t="shared" si="30"/>
        <v>8099.9846587051061</v>
      </c>
      <c r="M63" s="91">
        <f>IF($A63=O$20,'Construction Costs_2022'!$K$43+'Construction Costs_2022'!$K$7,0)</f>
        <v>0</v>
      </c>
      <c r="N63" s="38">
        <f t="shared" si="31"/>
        <v>43200</v>
      </c>
      <c r="O63" s="38"/>
      <c r="P63" s="45"/>
      <c r="Q63" s="46">
        <f t="shared" si="54"/>
        <v>43200</v>
      </c>
      <c r="R63" s="41">
        <f t="shared" si="49"/>
        <v>0</v>
      </c>
      <c r="S63" s="41">
        <f t="shared" si="47"/>
        <v>12149.976988057659</v>
      </c>
      <c r="T63" s="47">
        <f t="shared" si="48"/>
        <v>0</v>
      </c>
      <c r="U63" s="47">
        <f t="shared" si="10"/>
        <v>0</v>
      </c>
      <c r="V63" s="92">
        <f t="shared" si="33"/>
        <v>12149.976988057659</v>
      </c>
      <c r="W63" s="82">
        <f>IF($A63=Y$20,'Construction Costs_2022'!$K$64+'Construction Costs_2022'!$K$7,0)</f>
        <v>0</v>
      </c>
      <c r="X63" s="38">
        <f t="shared" si="34"/>
        <v>0</v>
      </c>
      <c r="Y63" s="38"/>
      <c r="Z63" s="45"/>
      <c r="AA63" s="46">
        <f t="shared" si="55"/>
        <v>0</v>
      </c>
      <c r="AB63" s="41">
        <f t="shared" si="50"/>
        <v>0</v>
      </c>
      <c r="AC63" s="41">
        <f t="shared" si="50"/>
        <v>0</v>
      </c>
      <c r="AD63" s="47">
        <f t="shared" si="50"/>
        <v>0</v>
      </c>
      <c r="AE63" s="47">
        <f t="shared" si="12"/>
        <v>0</v>
      </c>
      <c r="AF63" s="92">
        <f t="shared" si="36"/>
        <v>0</v>
      </c>
      <c r="AG63" s="82">
        <f>IF($A63=AI$20,'Construction Costs_2022'!$K$84+'Construction Costs_2022'!$K$7,0)</f>
        <v>0</v>
      </c>
      <c r="AH63" s="38">
        <f t="shared" si="37"/>
        <v>0</v>
      </c>
      <c r="AI63" s="38"/>
      <c r="AJ63" s="45"/>
      <c r="AK63" s="46">
        <f t="shared" si="56"/>
        <v>0</v>
      </c>
      <c r="AL63" s="41">
        <f t="shared" si="14"/>
        <v>0</v>
      </c>
      <c r="AM63" s="41">
        <f t="shared" si="15"/>
        <v>0</v>
      </c>
      <c r="AN63" s="47">
        <f t="shared" si="16"/>
        <v>0</v>
      </c>
      <c r="AO63" s="47">
        <f t="shared" si="17"/>
        <v>0</v>
      </c>
      <c r="AP63" s="92">
        <f t="shared" si="38"/>
        <v>0</v>
      </c>
      <c r="AQ63" s="82">
        <f>IF($A63=AS$20,'Construction Costs_2022'!$K$104+'Construction Costs_2022'!$K$7,0)</f>
        <v>0</v>
      </c>
      <c r="AR63" s="38">
        <f t="shared" si="39"/>
        <v>0</v>
      </c>
      <c r="AS63" s="38"/>
      <c r="AT63" s="45"/>
      <c r="AU63" s="46">
        <f t="shared" si="57"/>
        <v>0</v>
      </c>
      <c r="AV63" s="41">
        <f t="shared" si="19"/>
        <v>0</v>
      </c>
      <c r="AW63" s="41">
        <f t="shared" si="20"/>
        <v>0</v>
      </c>
      <c r="AX63" s="47">
        <f t="shared" si="21"/>
        <v>0</v>
      </c>
      <c r="AY63" s="47">
        <f t="shared" si="22"/>
        <v>0</v>
      </c>
      <c r="AZ63" s="92">
        <f t="shared" si="40"/>
        <v>0</v>
      </c>
      <c r="BA63" s="82">
        <f>IF($A63=BC$20,'Construction Costs_2022'!$K$104+'Construction Costs_2022'!$K$7,0)</f>
        <v>0</v>
      </c>
      <c r="BB63" s="38">
        <f t="shared" si="41"/>
        <v>0</v>
      </c>
      <c r="BC63" s="38"/>
      <c r="BD63" s="45"/>
      <c r="BE63" s="46">
        <f t="shared" si="45"/>
        <v>0</v>
      </c>
      <c r="BF63" s="41">
        <f t="shared" si="24"/>
        <v>0</v>
      </c>
      <c r="BG63" s="41">
        <f t="shared" si="25"/>
        <v>0</v>
      </c>
      <c r="BH63" s="47">
        <f t="shared" si="26"/>
        <v>0</v>
      </c>
      <c r="BI63" s="47">
        <f t="shared" si="27"/>
        <v>0</v>
      </c>
      <c r="BJ63" s="92">
        <f t="shared" si="42"/>
        <v>0</v>
      </c>
    </row>
    <row r="64" spans="1:62" s="3" customFormat="1" ht="12.75" x14ac:dyDescent="0.2">
      <c r="A64" s="12">
        <f t="shared" si="28"/>
        <v>39</v>
      </c>
      <c r="B64" s="13">
        <f t="shared" si="51"/>
        <v>0.2730577352583976</v>
      </c>
      <c r="C64" s="82">
        <f>IF($A64=E$20,'Construction Costs_2022'!$K$22+'Construction Costs_2022'!$K$7,0)</f>
        <v>0</v>
      </c>
      <c r="D64" s="38">
        <f t="shared" si="46"/>
        <v>28800</v>
      </c>
      <c r="E64" s="38"/>
      <c r="F64" s="45"/>
      <c r="G64" s="46">
        <f t="shared" si="52"/>
        <v>28800</v>
      </c>
      <c r="H64" s="41">
        <f t="shared" si="53"/>
        <v>0</v>
      </c>
      <c r="I64" s="41">
        <f t="shared" si="53"/>
        <v>7864.062775441851</v>
      </c>
      <c r="J64" s="47">
        <f t="shared" si="53"/>
        <v>0</v>
      </c>
      <c r="K64" s="47">
        <f t="shared" si="53"/>
        <v>0</v>
      </c>
      <c r="L64" s="92">
        <f t="shared" si="30"/>
        <v>7864.062775441851</v>
      </c>
      <c r="M64" s="91">
        <f>IF($A64=O$20,'Construction Costs_2022'!$K$43+'Construction Costs_2022'!$K$7,0)</f>
        <v>0</v>
      </c>
      <c r="N64" s="38">
        <f t="shared" si="31"/>
        <v>43200</v>
      </c>
      <c r="O64" s="38"/>
      <c r="P64" s="45"/>
      <c r="Q64" s="46">
        <f t="shared" si="54"/>
        <v>43200</v>
      </c>
      <c r="R64" s="41">
        <f t="shared" si="49"/>
        <v>0</v>
      </c>
      <c r="S64" s="41">
        <f t="shared" si="47"/>
        <v>11796.094163162776</v>
      </c>
      <c r="T64" s="47">
        <f t="shared" si="48"/>
        <v>0</v>
      </c>
      <c r="U64" s="47">
        <f t="shared" si="10"/>
        <v>0</v>
      </c>
      <c r="V64" s="92">
        <f t="shared" si="33"/>
        <v>11796.094163162776</v>
      </c>
      <c r="W64" s="82">
        <f>IF($A64=Y$20,'Construction Costs_2022'!$K$64+'Construction Costs_2022'!$K$7,0)</f>
        <v>0</v>
      </c>
      <c r="X64" s="38">
        <f t="shared" si="34"/>
        <v>0</v>
      </c>
      <c r="Y64" s="38"/>
      <c r="Z64" s="45"/>
      <c r="AA64" s="46">
        <f t="shared" si="55"/>
        <v>0</v>
      </c>
      <c r="AB64" s="41">
        <f t="shared" si="50"/>
        <v>0</v>
      </c>
      <c r="AC64" s="41">
        <f t="shared" si="50"/>
        <v>0</v>
      </c>
      <c r="AD64" s="47">
        <f t="shared" si="50"/>
        <v>0</v>
      </c>
      <c r="AE64" s="47">
        <f t="shared" si="12"/>
        <v>0</v>
      </c>
      <c r="AF64" s="92">
        <f t="shared" si="36"/>
        <v>0</v>
      </c>
      <c r="AG64" s="82">
        <f>IF($A64=AI$20,'Construction Costs_2022'!$K$84+'Construction Costs_2022'!$K$7,0)</f>
        <v>0</v>
      </c>
      <c r="AH64" s="38">
        <f t="shared" si="37"/>
        <v>0</v>
      </c>
      <c r="AI64" s="38"/>
      <c r="AJ64" s="45"/>
      <c r="AK64" s="46">
        <f t="shared" si="56"/>
        <v>0</v>
      </c>
      <c r="AL64" s="41">
        <f t="shared" si="14"/>
        <v>0</v>
      </c>
      <c r="AM64" s="41">
        <f t="shared" si="15"/>
        <v>0</v>
      </c>
      <c r="AN64" s="47">
        <f t="shared" si="16"/>
        <v>0</v>
      </c>
      <c r="AO64" s="47">
        <f t="shared" si="17"/>
        <v>0</v>
      </c>
      <c r="AP64" s="92">
        <f t="shared" si="38"/>
        <v>0</v>
      </c>
      <c r="AQ64" s="82">
        <f>IF($A64=AS$20,'Construction Costs_2022'!$K$104+'Construction Costs_2022'!$K$7,0)</f>
        <v>0</v>
      </c>
      <c r="AR64" s="38">
        <f t="shared" si="39"/>
        <v>0</v>
      </c>
      <c r="AS64" s="38"/>
      <c r="AT64" s="45"/>
      <c r="AU64" s="46">
        <f t="shared" si="57"/>
        <v>0</v>
      </c>
      <c r="AV64" s="41">
        <f t="shared" si="19"/>
        <v>0</v>
      </c>
      <c r="AW64" s="41">
        <f t="shared" si="20"/>
        <v>0</v>
      </c>
      <c r="AX64" s="47">
        <f t="shared" si="21"/>
        <v>0</v>
      </c>
      <c r="AY64" s="47">
        <f t="shared" si="22"/>
        <v>0</v>
      </c>
      <c r="AZ64" s="92">
        <f t="shared" si="40"/>
        <v>0</v>
      </c>
      <c r="BA64" s="82">
        <f>IF($A64=BC$20,'Construction Costs_2022'!$K$104+'Construction Costs_2022'!$K$7,0)</f>
        <v>0</v>
      </c>
      <c r="BB64" s="38">
        <f t="shared" si="41"/>
        <v>0</v>
      </c>
      <c r="BC64" s="38"/>
      <c r="BD64" s="45"/>
      <c r="BE64" s="46">
        <f t="shared" si="45"/>
        <v>0</v>
      </c>
      <c r="BF64" s="41">
        <f t="shared" si="24"/>
        <v>0</v>
      </c>
      <c r="BG64" s="41">
        <f t="shared" si="25"/>
        <v>0</v>
      </c>
      <c r="BH64" s="47">
        <f t="shared" si="26"/>
        <v>0</v>
      </c>
      <c r="BI64" s="47">
        <f t="shared" si="27"/>
        <v>0</v>
      </c>
      <c r="BJ64" s="92">
        <f t="shared" si="42"/>
        <v>0</v>
      </c>
    </row>
    <row r="65" spans="1:62" s="3" customFormat="1" ht="12.75" x14ac:dyDescent="0.2">
      <c r="A65" s="12">
        <f t="shared" si="28"/>
        <v>40</v>
      </c>
      <c r="B65" s="13">
        <f t="shared" si="51"/>
        <v>0.26510459733825009</v>
      </c>
      <c r="C65" s="82">
        <f>IF($A65=E$20,'Construction Costs_2022'!$K$22+'Construction Costs_2022'!$K$7,0)</f>
        <v>0</v>
      </c>
      <c r="D65" s="38">
        <f t="shared" si="46"/>
        <v>28800</v>
      </c>
      <c r="E65" s="38"/>
      <c r="F65" s="45"/>
      <c r="G65" s="46">
        <f t="shared" si="52"/>
        <v>28800</v>
      </c>
      <c r="H65" s="41">
        <f t="shared" si="53"/>
        <v>0</v>
      </c>
      <c r="I65" s="41">
        <f t="shared" si="53"/>
        <v>7635.0124033416023</v>
      </c>
      <c r="J65" s="47">
        <f t="shared" si="53"/>
        <v>0</v>
      </c>
      <c r="K65" s="47">
        <f t="shared" si="53"/>
        <v>0</v>
      </c>
      <c r="L65" s="92">
        <f t="shared" si="30"/>
        <v>7635.0124033416023</v>
      </c>
      <c r="M65" s="91">
        <f>IF($A65=O$20,'Construction Costs_2022'!$K$43+'Construction Costs_2022'!$K$7,0)</f>
        <v>0</v>
      </c>
      <c r="N65" s="38">
        <f t="shared" si="31"/>
        <v>43200</v>
      </c>
      <c r="O65" s="38"/>
      <c r="P65" s="45"/>
      <c r="Q65" s="46">
        <f t="shared" si="54"/>
        <v>43200</v>
      </c>
      <c r="R65" s="41">
        <f t="shared" si="49"/>
        <v>0</v>
      </c>
      <c r="S65" s="41">
        <f t="shared" si="47"/>
        <v>11452.518605012405</v>
      </c>
      <c r="T65" s="47">
        <f t="shared" si="48"/>
        <v>0</v>
      </c>
      <c r="U65" s="47">
        <f t="shared" si="10"/>
        <v>0</v>
      </c>
      <c r="V65" s="92">
        <f t="shared" si="33"/>
        <v>11452.518605012405</v>
      </c>
      <c r="W65" s="82">
        <f>IF($A65=Y$20,'Construction Costs_2022'!$K$64+'Construction Costs_2022'!$K$7,0)</f>
        <v>0</v>
      </c>
      <c r="X65" s="38">
        <f t="shared" si="34"/>
        <v>0</v>
      </c>
      <c r="Y65" s="38"/>
      <c r="Z65" s="45"/>
      <c r="AA65" s="46">
        <f t="shared" si="55"/>
        <v>0</v>
      </c>
      <c r="AB65" s="41">
        <f t="shared" si="50"/>
        <v>0</v>
      </c>
      <c r="AC65" s="41">
        <f t="shared" si="50"/>
        <v>0</v>
      </c>
      <c r="AD65" s="47">
        <f t="shared" si="50"/>
        <v>0</v>
      </c>
      <c r="AE65" s="47">
        <f t="shared" si="12"/>
        <v>0</v>
      </c>
      <c r="AF65" s="92">
        <f t="shared" si="36"/>
        <v>0</v>
      </c>
      <c r="AG65" s="82">
        <f>IF($A65=AI$20,'Construction Costs_2022'!$K$84+'Construction Costs_2022'!$K$7,0)</f>
        <v>0</v>
      </c>
      <c r="AH65" s="38">
        <f t="shared" si="37"/>
        <v>0</v>
      </c>
      <c r="AI65" s="38"/>
      <c r="AJ65" s="45"/>
      <c r="AK65" s="46">
        <f t="shared" si="56"/>
        <v>0</v>
      </c>
      <c r="AL65" s="41">
        <f t="shared" si="14"/>
        <v>0</v>
      </c>
      <c r="AM65" s="41">
        <f t="shared" si="15"/>
        <v>0</v>
      </c>
      <c r="AN65" s="47">
        <f t="shared" si="16"/>
        <v>0</v>
      </c>
      <c r="AO65" s="47">
        <f t="shared" si="17"/>
        <v>0</v>
      </c>
      <c r="AP65" s="92">
        <f t="shared" si="38"/>
        <v>0</v>
      </c>
      <c r="AQ65" s="82">
        <f>IF($A65=AS$20,'Construction Costs_2022'!$K$104+'Construction Costs_2022'!$K$7,0)</f>
        <v>0</v>
      </c>
      <c r="AR65" s="38">
        <f t="shared" si="39"/>
        <v>0</v>
      </c>
      <c r="AS65" s="38"/>
      <c r="AT65" s="45"/>
      <c r="AU65" s="46">
        <f t="shared" si="57"/>
        <v>0</v>
      </c>
      <c r="AV65" s="41">
        <f t="shared" si="19"/>
        <v>0</v>
      </c>
      <c r="AW65" s="41">
        <f t="shared" si="20"/>
        <v>0</v>
      </c>
      <c r="AX65" s="47">
        <f t="shared" si="21"/>
        <v>0</v>
      </c>
      <c r="AY65" s="47">
        <f t="shared" si="22"/>
        <v>0</v>
      </c>
      <c r="AZ65" s="92">
        <f t="shared" si="40"/>
        <v>0</v>
      </c>
      <c r="BA65" s="82">
        <f>IF($A65=BC$20,'Construction Costs_2022'!$K$104+'Construction Costs_2022'!$K$7,0)</f>
        <v>0</v>
      </c>
      <c r="BB65" s="38">
        <f t="shared" si="41"/>
        <v>0</v>
      </c>
      <c r="BC65" s="38"/>
      <c r="BD65" s="45"/>
      <c r="BE65" s="46">
        <f t="shared" si="45"/>
        <v>0</v>
      </c>
      <c r="BF65" s="41">
        <f t="shared" si="24"/>
        <v>0</v>
      </c>
      <c r="BG65" s="41">
        <f t="shared" si="25"/>
        <v>0</v>
      </c>
      <c r="BH65" s="47">
        <f t="shared" si="26"/>
        <v>0</v>
      </c>
      <c r="BI65" s="47">
        <f t="shared" si="27"/>
        <v>0</v>
      </c>
      <c r="BJ65" s="92">
        <f t="shared" si="42"/>
        <v>0</v>
      </c>
    </row>
    <row r="66" spans="1:62" s="3" customFormat="1" ht="12.75" x14ac:dyDescent="0.2">
      <c r="A66" s="12">
        <f t="shared" si="28"/>
        <v>41</v>
      </c>
      <c r="B66" s="13">
        <f t="shared" si="51"/>
        <v>0.25738310421189331</v>
      </c>
      <c r="C66" s="82">
        <f>IF($A66=E$20,'Construction Costs_2022'!$K$22+'Construction Costs_2022'!$K$7,0)</f>
        <v>0</v>
      </c>
      <c r="D66" s="38">
        <f t="shared" si="46"/>
        <v>28800</v>
      </c>
      <c r="E66" s="38"/>
      <c r="F66" s="45"/>
      <c r="G66" s="46">
        <f t="shared" si="52"/>
        <v>28800</v>
      </c>
      <c r="H66" s="41">
        <f t="shared" si="53"/>
        <v>0</v>
      </c>
      <c r="I66" s="41">
        <f t="shared" si="53"/>
        <v>7412.6334013025271</v>
      </c>
      <c r="J66" s="47">
        <f t="shared" si="53"/>
        <v>0</v>
      </c>
      <c r="K66" s="47">
        <f t="shared" si="53"/>
        <v>0</v>
      </c>
      <c r="L66" s="92">
        <f t="shared" si="30"/>
        <v>7412.6334013025271</v>
      </c>
      <c r="M66" s="91">
        <f>IF($A66=O$20,'Construction Costs_2022'!$K$43+'Construction Costs_2022'!$K$7,0)</f>
        <v>0</v>
      </c>
      <c r="N66" s="38">
        <f t="shared" si="31"/>
        <v>43200</v>
      </c>
      <c r="O66" s="38"/>
      <c r="P66" s="45"/>
      <c r="Q66" s="46">
        <f t="shared" si="54"/>
        <v>43200</v>
      </c>
      <c r="R66" s="41">
        <f t="shared" si="49"/>
        <v>0</v>
      </c>
      <c r="S66" s="41">
        <f t="shared" si="47"/>
        <v>11118.950101953791</v>
      </c>
      <c r="T66" s="47">
        <f t="shared" si="48"/>
        <v>0</v>
      </c>
      <c r="U66" s="47">
        <f t="shared" si="10"/>
        <v>0</v>
      </c>
      <c r="V66" s="92">
        <f t="shared" si="33"/>
        <v>11118.950101953791</v>
      </c>
      <c r="W66" s="82">
        <f>IF($A66=Y$20,'Construction Costs_2022'!$K$64+'Construction Costs_2022'!$K$7,0)</f>
        <v>0</v>
      </c>
      <c r="X66" s="38">
        <f t="shared" si="34"/>
        <v>0</v>
      </c>
      <c r="Y66" s="38"/>
      <c r="Z66" s="45"/>
      <c r="AA66" s="46">
        <f t="shared" si="55"/>
        <v>0</v>
      </c>
      <c r="AB66" s="41">
        <f t="shared" si="50"/>
        <v>0</v>
      </c>
      <c r="AC66" s="41">
        <f t="shared" si="50"/>
        <v>0</v>
      </c>
      <c r="AD66" s="47">
        <f t="shared" si="50"/>
        <v>0</v>
      </c>
      <c r="AE66" s="47">
        <f t="shared" si="12"/>
        <v>0</v>
      </c>
      <c r="AF66" s="92">
        <f t="shared" si="36"/>
        <v>0</v>
      </c>
      <c r="AG66" s="82">
        <f>IF($A66=AI$20,'Construction Costs_2022'!$K$84+'Construction Costs_2022'!$K$7,0)</f>
        <v>0</v>
      </c>
      <c r="AH66" s="38">
        <f t="shared" si="37"/>
        <v>0</v>
      </c>
      <c r="AI66" s="38"/>
      <c r="AJ66" s="45"/>
      <c r="AK66" s="46">
        <f t="shared" si="56"/>
        <v>0</v>
      </c>
      <c r="AL66" s="41">
        <f t="shared" si="14"/>
        <v>0</v>
      </c>
      <c r="AM66" s="41">
        <f t="shared" si="15"/>
        <v>0</v>
      </c>
      <c r="AN66" s="47">
        <f t="shared" si="16"/>
        <v>0</v>
      </c>
      <c r="AO66" s="47">
        <f t="shared" si="17"/>
        <v>0</v>
      </c>
      <c r="AP66" s="92">
        <f t="shared" si="38"/>
        <v>0</v>
      </c>
      <c r="AQ66" s="82">
        <f>IF($A66=AS$20,'Construction Costs_2022'!$K$104+'Construction Costs_2022'!$K$7,0)</f>
        <v>0</v>
      </c>
      <c r="AR66" s="38">
        <f t="shared" si="39"/>
        <v>0</v>
      </c>
      <c r="AS66" s="38"/>
      <c r="AT66" s="45"/>
      <c r="AU66" s="46">
        <f t="shared" si="57"/>
        <v>0</v>
      </c>
      <c r="AV66" s="41">
        <f t="shared" si="19"/>
        <v>0</v>
      </c>
      <c r="AW66" s="41">
        <f t="shared" si="20"/>
        <v>0</v>
      </c>
      <c r="AX66" s="47">
        <f t="shared" si="21"/>
        <v>0</v>
      </c>
      <c r="AY66" s="47">
        <f t="shared" si="22"/>
        <v>0</v>
      </c>
      <c r="AZ66" s="92">
        <f t="shared" si="40"/>
        <v>0</v>
      </c>
      <c r="BA66" s="82">
        <f>IF($A66=BC$20,'Construction Costs_2022'!$K$104+'Construction Costs_2022'!$K$7,0)</f>
        <v>0</v>
      </c>
      <c r="BB66" s="38">
        <f t="shared" si="41"/>
        <v>0</v>
      </c>
      <c r="BC66" s="38"/>
      <c r="BD66" s="45"/>
      <c r="BE66" s="46">
        <f t="shared" si="45"/>
        <v>0</v>
      </c>
      <c r="BF66" s="41">
        <f t="shared" si="24"/>
        <v>0</v>
      </c>
      <c r="BG66" s="41">
        <f t="shared" si="25"/>
        <v>0</v>
      </c>
      <c r="BH66" s="47">
        <f t="shared" si="26"/>
        <v>0</v>
      </c>
      <c r="BI66" s="47">
        <f t="shared" si="27"/>
        <v>0</v>
      </c>
      <c r="BJ66" s="92">
        <f t="shared" si="42"/>
        <v>0</v>
      </c>
    </row>
    <row r="67" spans="1:62" s="3" customFormat="1" ht="12.75" x14ac:dyDescent="0.2">
      <c r="A67" s="12">
        <f t="shared" si="28"/>
        <v>42</v>
      </c>
      <c r="B67" s="13">
        <f t="shared" si="51"/>
        <v>0.24988650894358574</v>
      </c>
      <c r="C67" s="82">
        <f>IF($A67=E$20,'Construction Costs_2022'!$K$22+'Construction Costs_2022'!$K$7,0)</f>
        <v>0</v>
      </c>
      <c r="D67" s="38">
        <f t="shared" si="46"/>
        <v>1301900</v>
      </c>
      <c r="E67" s="38"/>
      <c r="F67" s="45"/>
      <c r="G67" s="46">
        <f t="shared" si="52"/>
        <v>1301900</v>
      </c>
      <c r="H67" s="41">
        <f t="shared" si="53"/>
        <v>0</v>
      </c>
      <c r="I67" s="41">
        <f t="shared" si="53"/>
        <v>325327.2459936543</v>
      </c>
      <c r="J67" s="47">
        <f t="shared" si="53"/>
        <v>0</v>
      </c>
      <c r="K67" s="47">
        <f t="shared" si="53"/>
        <v>0</v>
      </c>
      <c r="L67" s="92">
        <f t="shared" si="30"/>
        <v>325327.2459936543</v>
      </c>
      <c r="M67" s="91">
        <f>IF($A67=O$20,'Construction Costs_2022'!$K$43+'Construction Costs_2022'!$K$7,0)</f>
        <v>0</v>
      </c>
      <c r="N67" s="38">
        <f t="shared" si="31"/>
        <v>1207840</v>
      </c>
      <c r="O67" s="38"/>
      <c r="P67" s="45"/>
      <c r="Q67" s="46">
        <f t="shared" si="54"/>
        <v>1207840</v>
      </c>
      <c r="R67" s="41">
        <f t="shared" si="49"/>
        <v>0</v>
      </c>
      <c r="S67" s="41">
        <f t="shared" si="47"/>
        <v>301822.92096242058</v>
      </c>
      <c r="T67" s="47">
        <f t="shared" si="48"/>
        <v>0</v>
      </c>
      <c r="U67" s="47">
        <f t="shared" si="10"/>
        <v>0</v>
      </c>
      <c r="V67" s="92">
        <f t="shared" si="33"/>
        <v>301822.92096242058</v>
      </c>
      <c r="W67" s="82">
        <f>IF($A67=Y$20,'Construction Costs_2022'!$K$64+'Construction Costs_2022'!$K$7,0)</f>
        <v>0</v>
      </c>
      <c r="X67" s="38">
        <f t="shared" si="34"/>
        <v>919280</v>
      </c>
      <c r="Y67" s="38"/>
      <c r="Z67" s="45"/>
      <c r="AA67" s="46">
        <f t="shared" si="55"/>
        <v>919280</v>
      </c>
      <c r="AB67" s="41">
        <f t="shared" si="50"/>
        <v>0</v>
      </c>
      <c r="AC67" s="41">
        <f t="shared" si="50"/>
        <v>229715.66994165949</v>
      </c>
      <c r="AD67" s="47">
        <f t="shared" si="50"/>
        <v>0</v>
      </c>
      <c r="AE67" s="47">
        <f t="shared" si="12"/>
        <v>0</v>
      </c>
      <c r="AF67" s="92">
        <f t="shared" si="36"/>
        <v>229715.66994165949</v>
      </c>
      <c r="AG67" s="82">
        <f>IF($A67=AI$20,'Construction Costs_2022'!$K$84+'Construction Costs_2022'!$K$7,0)</f>
        <v>0</v>
      </c>
      <c r="AH67" s="38">
        <f t="shared" si="37"/>
        <v>876260</v>
      </c>
      <c r="AI67" s="38"/>
      <c r="AJ67" s="45"/>
      <c r="AK67" s="46">
        <f t="shared" si="56"/>
        <v>876260</v>
      </c>
      <c r="AL67" s="41">
        <f t="shared" si="14"/>
        <v>0</v>
      </c>
      <c r="AM67" s="41">
        <f t="shared" si="15"/>
        <v>218965.55232690644</v>
      </c>
      <c r="AN67" s="47">
        <f t="shared" si="16"/>
        <v>0</v>
      </c>
      <c r="AO67" s="47">
        <f t="shared" si="17"/>
        <v>0</v>
      </c>
      <c r="AP67" s="92">
        <f t="shared" si="38"/>
        <v>218965.55232690644</v>
      </c>
      <c r="AQ67" s="82">
        <f>IF($A67=AS$20,'Construction Costs_2022'!$K$104+'Construction Costs_2022'!$K$7,0)</f>
        <v>0</v>
      </c>
      <c r="AR67" s="38">
        <f t="shared" si="39"/>
        <v>1005320</v>
      </c>
      <c r="AS67" s="38"/>
      <c r="AT67" s="45"/>
      <c r="AU67" s="46">
        <f t="shared" si="57"/>
        <v>1005320</v>
      </c>
      <c r="AV67" s="41">
        <f t="shared" si="19"/>
        <v>0</v>
      </c>
      <c r="AW67" s="41">
        <f t="shared" si="20"/>
        <v>251215.90517116562</v>
      </c>
      <c r="AX67" s="47">
        <f t="shared" si="21"/>
        <v>0</v>
      </c>
      <c r="AY67" s="47">
        <f t="shared" si="22"/>
        <v>0</v>
      </c>
      <c r="AZ67" s="92">
        <f t="shared" si="40"/>
        <v>251215.90517116562</v>
      </c>
      <c r="BA67" s="82">
        <f>IF($A67=BC$20,'Construction Costs_2022'!$K$104+'Construction Costs_2022'!$K$7,0)</f>
        <v>0</v>
      </c>
      <c r="BB67" s="38">
        <f t="shared" si="41"/>
        <v>201530</v>
      </c>
      <c r="BC67" s="38"/>
      <c r="BD67" s="45"/>
      <c r="BE67" s="46">
        <f t="shared" si="45"/>
        <v>201530</v>
      </c>
      <c r="BF67" s="41">
        <f t="shared" si="24"/>
        <v>0</v>
      </c>
      <c r="BG67" s="41">
        <f t="shared" si="25"/>
        <v>50359.628147400836</v>
      </c>
      <c r="BH67" s="47">
        <f t="shared" si="26"/>
        <v>0</v>
      </c>
      <c r="BI67" s="47">
        <f t="shared" si="27"/>
        <v>0</v>
      </c>
      <c r="BJ67" s="92">
        <f t="shared" si="42"/>
        <v>50359.628147400836</v>
      </c>
    </row>
    <row r="68" spans="1:62" s="3" customFormat="1" ht="12.75" x14ac:dyDescent="0.2">
      <c r="A68" s="12">
        <f t="shared" si="28"/>
        <v>43</v>
      </c>
      <c r="B68" s="13">
        <f t="shared" si="51"/>
        <v>0.24260826111027742</v>
      </c>
      <c r="C68" s="82">
        <f>IF($A68=E$20,'Construction Costs_2022'!$K$22+'Construction Costs_2022'!$K$7,0)</f>
        <v>0</v>
      </c>
      <c r="D68" s="38">
        <f t="shared" si="46"/>
        <v>28800</v>
      </c>
      <c r="E68" s="38"/>
      <c r="F68" s="45"/>
      <c r="G68" s="46">
        <f t="shared" si="52"/>
        <v>28800</v>
      </c>
      <c r="H68" s="41">
        <f t="shared" si="53"/>
        <v>0</v>
      </c>
      <c r="I68" s="41">
        <f t="shared" si="53"/>
        <v>6987.1179199759899</v>
      </c>
      <c r="J68" s="47">
        <f t="shared" si="53"/>
        <v>0</v>
      </c>
      <c r="K68" s="47">
        <f t="shared" si="53"/>
        <v>0</v>
      </c>
      <c r="L68" s="92">
        <f t="shared" si="30"/>
        <v>6987.1179199759899</v>
      </c>
      <c r="M68" s="91">
        <f>IF($A68=O$20,'Construction Costs_2022'!$K$43+'Construction Costs_2022'!$K$7,0)</f>
        <v>0</v>
      </c>
      <c r="N68" s="38">
        <f t="shared" si="31"/>
        <v>43200</v>
      </c>
      <c r="O68" s="38"/>
      <c r="P68" s="45"/>
      <c r="Q68" s="46">
        <f t="shared" si="54"/>
        <v>43200</v>
      </c>
      <c r="R68" s="41">
        <f t="shared" si="49"/>
        <v>0</v>
      </c>
      <c r="S68" s="41">
        <f t="shared" si="47"/>
        <v>10480.676879963985</v>
      </c>
      <c r="T68" s="47">
        <f t="shared" si="48"/>
        <v>0</v>
      </c>
      <c r="U68" s="47">
        <f t="shared" si="10"/>
        <v>0</v>
      </c>
      <c r="V68" s="92">
        <f t="shared" si="33"/>
        <v>10480.676879963985</v>
      </c>
      <c r="W68" s="82">
        <f>IF($A68=Y$20,'Construction Costs_2022'!$K$64+'Construction Costs_2022'!$K$7,0)</f>
        <v>0</v>
      </c>
      <c r="X68" s="38">
        <f t="shared" si="34"/>
        <v>0</v>
      </c>
      <c r="Y68" s="38"/>
      <c r="Z68" s="45"/>
      <c r="AA68" s="46">
        <f t="shared" si="55"/>
        <v>0</v>
      </c>
      <c r="AB68" s="41">
        <f t="shared" si="50"/>
        <v>0</v>
      </c>
      <c r="AC68" s="41">
        <f t="shared" si="50"/>
        <v>0</v>
      </c>
      <c r="AD68" s="47">
        <f t="shared" si="50"/>
        <v>0</v>
      </c>
      <c r="AE68" s="47">
        <f t="shared" si="12"/>
        <v>0</v>
      </c>
      <c r="AF68" s="92">
        <f t="shared" si="36"/>
        <v>0</v>
      </c>
      <c r="AG68" s="82">
        <f>IF($A68=AI$20,'Construction Costs_2022'!$K$84+'Construction Costs_2022'!$K$7,0)</f>
        <v>0</v>
      </c>
      <c r="AH68" s="38">
        <f t="shared" si="37"/>
        <v>0</v>
      </c>
      <c r="AI68" s="38"/>
      <c r="AJ68" s="45"/>
      <c r="AK68" s="46">
        <f t="shared" si="56"/>
        <v>0</v>
      </c>
      <c r="AL68" s="41">
        <f t="shared" si="14"/>
        <v>0</v>
      </c>
      <c r="AM68" s="41">
        <f t="shared" si="15"/>
        <v>0</v>
      </c>
      <c r="AN68" s="47">
        <f t="shared" si="16"/>
        <v>0</v>
      </c>
      <c r="AO68" s="47">
        <f t="shared" si="17"/>
        <v>0</v>
      </c>
      <c r="AP68" s="92">
        <f t="shared" si="38"/>
        <v>0</v>
      </c>
      <c r="AQ68" s="82">
        <f>IF($A68=AS$20,'Construction Costs_2022'!$K$104+'Construction Costs_2022'!$K$7,0)</f>
        <v>0</v>
      </c>
      <c r="AR68" s="38">
        <f t="shared" si="39"/>
        <v>0</v>
      </c>
      <c r="AS68" s="38"/>
      <c r="AT68" s="45"/>
      <c r="AU68" s="46">
        <f t="shared" si="57"/>
        <v>0</v>
      </c>
      <c r="AV68" s="41">
        <f t="shared" si="19"/>
        <v>0</v>
      </c>
      <c r="AW68" s="41">
        <f t="shared" si="20"/>
        <v>0</v>
      </c>
      <c r="AX68" s="47">
        <f t="shared" si="21"/>
        <v>0</v>
      </c>
      <c r="AY68" s="47">
        <f t="shared" si="22"/>
        <v>0</v>
      </c>
      <c r="AZ68" s="92">
        <f t="shared" si="40"/>
        <v>0</v>
      </c>
      <c r="BA68" s="82">
        <f>IF($A68=BC$20,'Construction Costs_2022'!$K$104+'Construction Costs_2022'!$K$7,0)</f>
        <v>0</v>
      </c>
      <c r="BB68" s="38">
        <f t="shared" si="41"/>
        <v>0</v>
      </c>
      <c r="BC68" s="38"/>
      <c r="BD68" s="45"/>
      <c r="BE68" s="46">
        <f t="shared" si="45"/>
        <v>0</v>
      </c>
      <c r="BF68" s="41">
        <f t="shared" si="24"/>
        <v>0</v>
      </c>
      <c r="BG68" s="41">
        <f t="shared" si="25"/>
        <v>0</v>
      </c>
      <c r="BH68" s="47">
        <f t="shared" si="26"/>
        <v>0</v>
      </c>
      <c r="BI68" s="47">
        <f t="shared" si="27"/>
        <v>0</v>
      </c>
      <c r="BJ68" s="92">
        <f t="shared" si="42"/>
        <v>0</v>
      </c>
    </row>
    <row r="69" spans="1:62" s="3" customFormat="1" ht="12.75" x14ac:dyDescent="0.2">
      <c r="A69" s="12">
        <f t="shared" si="28"/>
        <v>44</v>
      </c>
      <c r="B69" s="13">
        <f t="shared" si="51"/>
        <v>0.23554200107793924</v>
      </c>
      <c r="C69" s="82">
        <f>IF($A69=E$20,'Construction Costs_2022'!$K$22+'Construction Costs_2022'!$K$7,0)</f>
        <v>0</v>
      </c>
      <c r="D69" s="38">
        <f t="shared" si="46"/>
        <v>28800</v>
      </c>
      <c r="E69" s="38"/>
      <c r="F69" s="45"/>
      <c r="G69" s="46">
        <f t="shared" si="52"/>
        <v>28800</v>
      </c>
      <c r="H69" s="41">
        <f t="shared" si="53"/>
        <v>0</v>
      </c>
      <c r="I69" s="41">
        <f t="shared" si="53"/>
        <v>6783.6096310446501</v>
      </c>
      <c r="J69" s="47">
        <f t="shared" si="53"/>
        <v>0</v>
      </c>
      <c r="K69" s="47">
        <f t="shared" si="53"/>
        <v>0</v>
      </c>
      <c r="L69" s="92">
        <f t="shared" si="30"/>
        <v>6783.6096310446501</v>
      </c>
      <c r="M69" s="91">
        <f>IF($A69=O$20,'Construction Costs_2022'!$K$43+'Construction Costs_2022'!$K$7,0)</f>
        <v>0</v>
      </c>
      <c r="N69" s="38">
        <f t="shared" si="31"/>
        <v>43200</v>
      </c>
      <c r="O69" s="38"/>
      <c r="P69" s="45"/>
      <c r="Q69" s="46">
        <f t="shared" si="54"/>
        <v>43200</v>
      </c>
      <c r="R69" s="41">
        <f t="shared" si="49"/>
        <v>0</v>
      </c>
      <c r="S69" s="41">
        <f t="shared" si="47"/>
        <v>10175.414446566976</v>
      </c>
      <c r="T69" s="47">
        <f t="shared" si="48"/>
        <v>0</v>
      </c>
      <c r="U69" s="47">
        <f t="shared" si="10"/>
        <v>0</v>
      </c>
      <c r="V69" s="92">
        <f t="shared" si="33"/>
        <v>10175.414446566976</v>
      </c>
      <c r="W69" s="82">
        <f>IF($A69=Y$20,'Construction Costs_2022'!$K$64+'Construction Costs_2022'!$K$7,0)</f>
        <v>0</v>
      </c>
      <c r="X69" s="38">
        <f t="shared" si="34"/>
        <v>0</v>
      </c>
      <c r="Y69" s="38"/>
      <c r="Z69" s="45"/>
      <c r="AA69" s="46">
        <f t="shared" si="55"/>
        <v>0</v>
      </c>
      <c r="AB69" s="41">
        <f t="shared" si="50"/>
        <v>0</v>
      </c>
      <c r="AC69" s="41">
        <f t="shared" si="50"/>
        <v>0</v>
      </c>
      <c r="AD69" s="47">
        <f t="shared" si="50"/>
        <v>0</v>
      </c>
      <c r="AE69" s="47">
        <f t="shared" si="12"/>
        <v>0</v>
      </c>
      <c r="AF69" s="92">
        <f t="shared" si="36"/>
        <v>0</v>
      </c>
      <c r="AG69" s="82">
        <f>IF($A69=AI$20,'Construction Costs_2022'!$K$84+'Construction Costs_2022'!$K$7,0)</f>
        <v>0</v>
      </c>
      <c r="AH69" s="38">
        <f t="shared" si="37"/>
        <v>0</v>
      </c>
      <c r="AI69" s="38"/>
      <c r="AJ69" s="45"/>
      <c r="AK69" s="46">
        <f t="shared" si="56"/>
        <v>0</v>
      </c>
      <c r="AL69" s="41">
        <f t="shared" si="14"/>
        <v>0</v>
      </c>
      <c r="AM69" s="41">
        <f t="shared" si="15"/>
        <v>0</v>
      </c>
      <c r="AN69" s="47">
        <f t="shared" si="16"/>
        <v>0</v>
      </c>
      <c r="AO69" s="47">
        <f t="shared" si="17"/>
        <v>0</v>
      </c>
      <c r="AP69" s="92">
        <f t="shared" si="38"/>
        <v>0</v>
      </c>
      <c r="AQ69" s="82">
        <f>IF($A69=AS$20,'Construction Costs_2022'!$K$104+'Construction Costs_2022'!$K$7,0)</f>
        <v>0</v>
      </c>
      <c r="AR69" s="38">
        <f t="shared" si="39"/>
        <v>0</v>
      </c>
      <c r="AS69" s="38"/>
      <c r="AT69" s="45"/>
      <c r="AU69" s="46">
        <f t="shared" si="57"/>
        <v>0</v>
      </c>
      <c r="AV69" s="41">
        <f t="shared" si="19"/>
        <v>0</v>
      </c>
      <c r="AW69" s="41">
        <f t="shared" si="20"/>
        <v>0</v>
      </c>
      <c r="AX69" s="47">
        <f t="shared" si="21"/>
        <v>0</v>
      </c>
      <c r="AY69" s="47">
        <f t="shared" si="22"/>
        <v>0</v>
      </c>
      <c r="AZ69" s="92">
        <f t="shared" si="40"/>
        <v>0</v>
      </c>
      <c r="BA69" s="82">
        <f>IF($A69=BC$20,'Construction Costs_2022'!$K$104+'Construction Costs_2022'!$K$7,0)</f>
        <v>0</v>
      </c>
      <c r="BB69" s="38">
        <f t="shared" si="41"/>
        <v>0</v>
      </c>
      <c r="BC69" s="38"/>
      <c r="BD69" s="45"/>
      <c r="BE69" s="46">
        <f t="shared" si="45"/>
        <v>0</v>
      </c>
      <c r="BF69" s="41">
        <f t="shared" si="24"/>
        <v>0</v>
      </c>
      <c r="BG69" s="41">
        <f t="shared" si="25"/>
        <v>0</v>
      </c>
      <c r="BH69" s="47">
        <f t="shared" si="26"/>
        <v>0</v>
      </c>
      <c r="BI69" s="47">
        <f t="shared" si="27"/>
        <v>0</v>
      </c>
      <c r="BJ69" s="92">
        <f t="shared" si="42"/>
        <v>0</v>
      </c>
    </row>
    <row r="70" spans="1:62" s="3" customFormat="1" ht="12.75" x14ac:dyDescent="0.2">
      <c r="A70" s="12">
        <f t="shared" si="28"/>
        <v>45</v>
      </c>
      <c r="B70" s="13">
        <f t="shared" si="51"/>
        <v>0.2286815544446012</v>
      </c>
      <c r="C70" s="82">
        <f>IF($A70=E$20,'Construction Costs_2022'!$K$22+'Construction Costs_2022'!$K$7,0)</f>
        <v>0</v>
      </c>
      <c r="D70" s="38">
        <f t="shared" si="46"/>
        <v>28800</v>
      </c>
      <c r="E70" s="38"/>
      <c r="F70" s="45"/>
      <c r="G70" s="46">
        <f t="shared" si="52"/>
        <v>28800</v>
      </c>
      <c r="H70" s="41">
        <f t="shared" si="53"/>
        <v>0</v>
      </c>
      <c r="I70" s="41">
        <f t="shared" si="53"/>
        <v>6586.0287680045149</v>
      </c>
      <c r="J70" s="47">
        <f t="shared" si="53"/>
        <v>0</v>
      </c>
      <c r="K70" s="47">
        <f t="shared" si="53"/>
        <v>0</v>
      </c>
      <c r="L70" s="92">
        <f t="shared" si="30"/>
        <v>6586.0287680045149</v>
      </c>
      <c r="M70" s="91">
        <f>IF($A70=O$20,'Construction Costs_2022'!$K$43+'Construction Costs_2022'!$K$7,0)</f>
        <v>0</v>
      </c>
      <c r="N70" s="38">
        <f t="shared" si="31"/>
        <v>43200</v>
      </c>
      <c r="O70" s="38"/>
      <c r="P70" s="45"/>
      <c r="Q70" s="46">
        <f t="shared" si="54"/>
        <v>43200</v>
      </c>
      <c r="R70" s="41">
        <f t="shared" si="49"/>
        <v>0</v>
      </c>
      <c r="S70" s="41">
        <f t="shared" si="47"/>
        <v>9879.0431520067723</v>
      </c>
      <c r="T70" s="47">
        <f t="shared" si="48"/>
        <v>0</v>
      </c>
      <c r="U70" s="47">
        <f t="shared" si="10"/>
        <v>0</v>
      </c>
      <c r="V70" s="92">
        <f t="shared" si="33"/>
        <v>9879.0431520067723</v>
      </c>
      <c r="W70" s="82">
        <f>IF($A70=Y$20,'Construction Costs_2022'!$K$64+'Construction Costs_2022'!$K$7,0)</f>
        <v>0</v>
      </c>
      <c r="X70" s="38">
        <f t="shared" si="34"/>
        <v>0</v>
      </c>
      <c r="Y70" s="38"/>
      <c r="Z70" s="45"/>
      <c r="AA70" s="46">
        <f t="shared" si="55"/>
        <v>0</v>
      </c>
      <c r="AB70" s="41">
        <f t="shared" si="50"/>
        <v>0</v>
      </c>
      <c r="AC70" s="41">
        <f t="shared" si="50"/>
        <v>0</v>
      </c>
      <c r="AD70" s="47">
        <f t="shared" si="50"/>
        <v>0</v>
      </c>
      <c r="AE70" s="47">
        <f t="shared" si="12"/>
        <v>0</v>
      </c>
      <c r="AF70" s="92">
        <f t="shared" si="36"/>
        <v>0</v>
      </c>
      <c r="AG70" s="82">
        <f>IF($A70=AI$20,'Construction Costs_2022'!$K$84+'Construction Costs_2022'!$K$7,0)</f>
        <v>0</v>
      </c>
      <c r="AH70" s="38">
        <f t="shared" si="37"/>
        <v>0</v>
      </c>
      <c r="AI70" s="38"/>
      <c r="AJ70" s="45"/>
      <c r="AK70" s="46">
        <f t="shared" si="56"/>
        <v>0</v>
      </c>
      <c r="AL70" s="41">
        <f t="shared" si="14"/>
        <v>0</v>
      </c>
      <c r="AM70" s="41">
        <f t="shared" si="15"/>
        <v>0</v>
      </c>
      <c r="AN70" s="47">
        <f t="shared" si="16"/>
        <v>0</v>
      </c>
      <c r="AO70" s="47">
        <f t="shared" si="17"/>
        <v>0</v>
      </c>
      <c r="AP70" s="92">
        <f t="shared" si="38"/>
        <v>0</v>
      </c>
      <c r="AQ70" s="82">
        <f>IF($A70=AS$20,'Construction Costs_2022'!$K$104+'Construction Costs_2022'!$K$7,0)</f>
        <v>0</v>
      </c>
      <c r="AR70" s="38">
        <f t="shared" si="39"/>
        <v>0</v>
      </c>
      <c r="AS70" s="38"/>
      <c r="AT70" s="45"/>
      <c r="AU70" s="46">
        <f t="shared" si="57"/>
        <v>0</v>
      </c>
      <c r="AV70" s="41">
        <f t="shared" si="19"/>
        <v>0</v>
      </c>
      <c r="AW70" s="41">
        <f t="shared" si="20"/>
        <v>0</v>
      </c>
      <c r="AX70" s="47">
        <f t="shared" si="21"/>
        <v>0</v>
      </c>
      <c r="AY70" s="47">
        <f t="shared" si="22"/>
        <v>0</v>
      </c>
      <c r="AZ70" s="92">
        <f t="shared" si="40"/>
        <v>0</v>
      </c>
      <c r="BA70" s="82">
        <f>IF($A70=BC$20,'Construction Costs_2022'!$K$104+'Construction Costs_2022'!$K$7,0)</f>
        <v>0</v>
      </c>
      <c r="BB70" s="38">
        <f t="shared" si="41"/>
        <v>0</v>
      </c>
      <c r="BC70" s="38"/>
      <c r="BD70" s="45"/>
      <c r="BE70" s="46">
        <f t="shared" si="45"/>
        <v>0</v>
      </c>
      <c r="BF70" s="41">
        <f t="shared" si="24"/>
        <v>0</v>
      </c>
      <c r="BG70" s="41">
        <f t="shared" si="25"/>
        <v>0</v>
      </c>
      <c r="BH70" s="47">
        <f t="shared" si="26"/>
        <v>0</v>
      </c>
      <c r="BI70" s="47">
        <f t="shared" si="27"/>
        <v>0</v>
      </c>
      <c r="BJ70" s="92">
        <f t="shared" si="42"/>
        <v>0</v>
      </c>
    </row>
    <row r="71" spans="1:62" s="3" customFormat="1" ht="12.75" x14ac:dyDescent="0.2">
      <c r="A71" s="12">
        <f t="shared" si="28"/>
        <v>46</v>
      </c>
      <c r="B71" s="13">
        <f t="shared" si="51"/>
        <v>0.22202092664524387</v>
      </c>
      <c r="C71" s="82">
        <f>IF($A71=E$20,'Construction Costs_2022'!$K$22+'Construction Costs_2022'!$K$7,0)</f>
        <v>0</v>
      </c>
      <c r="D71" s="38">
        <f t="shared" si="46"/>
        <v>28800</v>
      </c>
      <c r="E71" s="38"/>
      <c r="F71" s="45"/>
      <c r="G71" s="46">
        <f t="shared" si="52"/>
        <v>28800</v>
      </c>
      <c r="H71" s="41">
        <f t="shared" si="53"/>
        <v>0</v>
      </c>
      <c r="I71" s="41">
        <f t="shared" si="53"/>
        <v>6394.2026873830237</v>
      </c>
      <c r="J71" s="47">
        <f t="shared" si="53"/>
        <v>0</v>
      </c>
      <c r="K71" s="47">
        <f t="shared" si="53"/>
        <v>0</v>
      </c>
      <c r="L71" s="92">
        <f t="shared" si="30"/>
        <v>6394.2026873830237</v>
      </c>
      <c r="M71" s="91">
        <f>IF($A71=O$20,'Construction Costs_2022'!$K$43+'Construction Costs_2022'!$K$7,0)</f>
        <v>0</v>
      </c>
      <c r="N71" s="38">
        <f t="shared" si="31"/>
        <v>43200</v>
      </c>
      <c r="O71" s="38"/>
      <c r="P71" s="45"/>
      <c r="Q71" s="46">
        <f t="shared" si="54"/>
        <v>43200</v>
      </c>
      <c r="R71" s="41">
        <f t="shared" si="49"/>
        <v>0</v>
      </c>
      <c r="S71" s="41">
        <f t="shared" si="47"/>
        <v>9591.3040310745346</v>
      </c>
      <c r="T71" s="47">
        <f t="shared" si="48"/>
        <v>0</v>
      </c>
      <c r="U71" s="47">
        <f t="shared" si="10"/>
        <v>0</v>
      </c>
      <c r="V71" s="92">
        <f t="shared" si="33"/>
        <v>9591.3040310745346</v>
      </c>
      <c r="W71" s="82">
        <f>IF($A71=Y$20,'Construction Costs_2022'!$K$64+'Construction Costs_2022'!$K$7,0)</f>
        <v>0</v>
      </c>
      <c r="X71" s="38">
        <f t="shared" si="34"/>
        <v>0</v>
      </c>
      <c r="Y71" s="38"/>
      <c r="Z71" s="45"/>
      <c r="AA71" s="46">
        <f t="shared" si="55"/>
        <v>0</v>
      </c>
      <c r="AB71" s="41">
        <f t="shared" si="50"/>
        <v>0</v>
      </c>
      <c r="AC71" s="41">
        <f t="shared" si="50"/>
        <v>0</v>
      </c>
      <c r="AD71" s="47">
        <f t="shared" si="50"/>
        <v>0</v>
      </c>
      <c r="AE71" s="47">
        <f t="shared" si="12"/>
        <v>0</v>
      </c>
      <c r="AF71" s="92">
        <f t="shared" si="36"/>
        <v>0</v>
      </c>
      <c r="AG71" s="82">
        <f>IF($A71=AI$20,'Construction Costs_2022'!$K$84+'Construction Costs_2022'!$K$7,0)</f>
        <v>0</v>
      </c>
      <c r="AH71" s="38">
        <f t="shared" si="37"/>
        <v>0</v>
      </c>
      <c r="AI71" s="38"/>
      <c r="AJ71" s="45"/>
      <c r="AK71" s="46">
        <f t="shared" si="56"/>
        <v>0</v>
      </c>
      <c r="AL71" s="41">
        <f t="shared" si="14"/>
        <v>0</v>
      </c>
      <c r="AM71" s="41">
        <f t="shared" si="15"/>
        <v>0</v>
      </c>
      <c r="AN71" s="47">
        <f t="shared" si="16"/>
        <v>0</v>
      </c>
      <c r="AO71" s="47">
        <f t="shared" si="17"/>
        <v>0</v>
      </c>
      <c r="AP71" s="92">
        <f t="shared" si="38"/>
        <v>0</v>
      </c>
      <c r="AQ71" s="82">
        <f>IF($A71=AS$20,'Construction Costs_2022'!$K$104+'Construction Costs_2022'!$K$7,0)</f>
        <v>0</v>
      </c>
      <c r="AR71" s="38">
        <f t="shared" si="39"/>
        <v>0</v>
      </c>
      <c r="AS71" s="38"/>
      <c r="AT71" s="45"/>
      <c r="AU71" s="46">
        <f t="shared" si="57"/>
        <v>0</v>
      </c>
      <c r="AV71" s="41">
        <f t="shared" si="19"/>
        <v>0</v>
      </c>
      <c r="AW71" s="41">
        <f t="shared" si="20"/>
        <v>0</v>
      </c>
      <c r="AX71" s="47">
        <f t="shared" si="21"/>
        <v>0</v>
      </c>
      <c r="AY71" s="47">
        <f t="shared" si="22"/>
        <v>0</v>
      </c>
      <c r="AZ71" s="92">
        <f t="shared" si="40"/>
        <v>0</v>
      </c>
      <c r="BA71" s="82">
        <f>IF($A71=BC$20,'Construction Costs_2022'!$K$104+'Construction Costs_2022'!$K$7,0)</f>
        <v>0</v>
      </c>
      <c r="BB71" s="38">
        <f t="shared" si="41"/>
        <v>0</v>
      </c>
      <c r="BC71" s="38"/>
      <c r="BD71" s="45"/>
      <c r="BE71" s="46">
        <f t="shared" si="45"/>
        <v>0</v>
      </c>
      <c r="BF71" s="41">
        <f t="shared" si="24"/>
        <v>0</v>
      </c>
      <c r="BG71" s="41">
        <f t="shared" si="25"/>
        <v>0</v>
      </c>
      <c r="BH71" s="47">
        <f t="shared" si="26"/>
        <v>0</v>
      </c>
      <c r="BI71" s="47">
        <f t="shared" si="27"/>
        <v>0</v>
      </c>
      <c r="BJ71" s="92">
        <f t="shared" si="42"/>
        <v>0</v>
      </c>
    </row>
    <row r="72" spans="1:62" s="3" customFormat="1" ht="12.75" x14ac:dyDescent="0.2">
      <c r="A72" s="12">
        <f t="shared" si="28"/>
        <v>47</v>
      </c>
      <c r="B72" s="13">
        <f t="shared" si="51"/>
        <v>0.215554297713829</v>
      </c>
      <c r="C72" s="82">
        <f>IF($A72=E$20,'Construction Costs_2022'!$K$22+'Construction Costs_2022'!$K$7,0)</f>
        <v>0</v>
      </c>
      <c r="D72" s="38">
        <f t="shared" si="46"/>
        <v>28800</v>
      </c>
      <c r="E72" s="38"/>
      <c r="F72" s="45"/>
      <c r="G72" s="46">
        <f t="shared" si="52"/>
        <v>28800</v>
      </c>
      <c r="H72" s="41">
        <f t="shared" si="53"/>
        <v>0</v>
      </c>
      <c r="I72" s="41">
        <f t="shared" si="53"/>
        <v>6207.9637741582756</v>
      </c>
      <c r="J72" s="47">
        <f t="shared" si="53"/>
        <v>0</v>
      </c>
      <c r="K72" s="47">
        <f t="shared" si="53"/>
        <v>0</v>
      </c>
      <c r="L72" s="92">
        <f t="shared" si="30"/>
        <v>6207.9637741582756</v>
      </c>
      <c r="M72" s="91">
        <f>IF($A72=O$20,'Construction Costs_2022'!$K$43+'Construction Costs_2022'!$K$7,0)</f>
        <v>0</v>
      </c>
      <c r="N72" s="38">
        <f t="shared" si="31"/>
        <v>43200</v>
      </c>
      <c r="O72" s="38"/>
      <c r="P72" s="45"/>
      <c r="Q72" s="46">
        <f t="shared" si="54"/>
        <v>43200</v>
      </c>
      <c r="R72" s="41">
        <f t="shared" si="49"/>
        <v>0</v>
      </c>
      <c r="S72" s="41">
        <f t="shared" si="47"/>
        <v>9311.9456612374124</v>
      </c>
      <c r="T72" s="47">
        <f t="shared" si="48"/>
        <v>0</v>
      </c>
      <c r="U72" s="47">
        <f t="shared" si="10"/>
        <v>0</v>
      </c>
      <c r="V72" s="92">
        <f t="shared" si="33"/>
        <v>9311.9456612374124</v>
      </c>
      <c r="W72" s="82">
        <f>IF($A72=Y$20,'Construction Costs_2022'!$K$64+'Construction Costs_2022'!$K$7,0)</f>
        <v>0</v>
      </c>
      <c r="X72" s="38">
        <f t="shared" si="34"/>
        <v>86400</v>
      </c>
      <c r="Y72" s="38"/>
      <c r="Z72" s="45"/>
      <c r="AA72" s="46">
        <f t="shared" si="55"/>
        <v>86400</v>
      </c>
      <c r="AB72" s="41">
        <f t="shared" si="50"/>
        <v>0</v>
      </c>
      <c r="AC72" s="41">
        <f t="shared" si="50"/>
        <v>18623.891322474825</v>
      </c>
      <c r="AD72" s="47">
        <f t="shared" si="50"/>
        <v>0</v>
      </c>
      <c r="AE72" s="47">
        <f t="shared" si="12"/>
        <v>0</v>
      </c>
      <c r="AF72" s="92">
        <f t="shared" si="36"/>
        <v>18623.891322474825</v>
      </c>
      <c r="AG72" s="82">
        <f>IF($A72=AI$20,'Construction Costs_2022'!$K$84+'Construction Costs_2022'!$K$7,0)</f>
        <v>0</v>
      </c>
      <c r="AH72" s="38">
        <f t="shared" si="37"/>
        <v>100800</v>
      </c>
      <c r="AI72" s="38"/>
      <c r="AJ72" s="45"/>
      <c r="AK72" s="46">
        <f t="shared" si="56"/>
        <v>100800</v>
      </c>
      <c r="AL72" s="41">
        <f t="shared" si="14"/>
        <v>0</v>
      </c>
      <c r="AM72" s="41">
        <f t="shared" si="15"/>
        <v>21727.873209553964</v>
      </c>
      <c r="AN72" s="47">
        <f t="shared" si="16"/>
        <v>0</v>
      </c>
      <c r="AO72" s="47">
        <f t="shared" si="17"/>
        <v>0</v>
      </c>
      <c r="AP72" s="92">
        <f t="shared" si="38"/>
        <v>21727.873209553964</v>
      </c>
      <c r="AQ72" s="82">
        <f>IF($A72=AS$20,'Construction Costs_2022'!$K$104+'Construction Costs_2022'!$K$7,0)</f>
        <v>0</v>
      </c>
      <c r="AR72" s="38">
        <f t="shared" si="39"/>
        <v>57600</v>
      </c>
      <c r="AS72" s="38"/>
      <c r="AT72" s="45"/>
      <c r="AU72" s="46">
        <f t="shared" si="57"/>
        <v>57600</v>
      </c>
      <c r="AV72" s="41">
        <f t="shared" si="19"/>
        <v>0</v>
      </c>
      <c r="AW72" s="41">
        <f t="shared" si="20"/>
        <v>12415.927548316551</v>
      </c>
      <c r="AX72" s="47">
        <f t="shared" si="21"/>
        <v>0</v>
      </c>
      <c r="AY72" s="47">
        <f t="shared" si="22"/>
        <v>0</v>
      </c>
      <c r="AZ72" s="92">
        <f t="shared" si="40"/>
        <v>12415.927548316551</v>
      </c>
      <c r="BA72" s="82">
        <f>IF($A72=BC$20,'Construction Costs_2022'!$K$104+'Construction Costs_2022'!$K$7,0)</f>
        <v>0</v>
      </c>
      <c r="BB72" s="38">
        <f t="shared" si="41"/>
        <v>86400</v>
      </c>
      <c r="BC72" s="38"/>
      <c r="BD72" s="45"/>
      <c r="BE72" s="46">
        <f t="shared" si="45"/>
        <v>86400</v>
      </c>
      <c r="BF72" s="41">
        <f t="shared" si="24"/>
        <v>0</v>
      </c>
      <c r="BG72" s="41">
        <f t="shared" si="25"/>
        <v>18623.891322474825</v>
      </c>
      <c r="BH72" s="47">
        <f t="shared" si="26"/>
        <v>0</v>
      </c>
      <c r="BI72" s="47">
        <f t="shared" si="27"/>
        <v>0</v>
      </c>
      <c r="BJ72" s="92">
        <f t="shared" si="42"/>
        <v>18623.891322474825</v>
      </c>
    </row>
    <row r="73" spans="1:62" s="3" customFormat="1" ht="12.75" x14ac:dyDescent="0.2">
      <c r="A73" s="12">
        <f t="shared" si="28"/>
        <v>48</v>
      </c>
      <c r="B73" s="13">
        <f t="shared" si="51"/>
        <v>0.20927601719789224</v>
      </c>
      <c r="C73" s="82">
        <f>IF($A73=E$20,'Construction Costs_2022'!$K$22+'Construction Costs_2022'!$K$7,0)</f>
        <v>0</v>
      </c>
      <c r="D73" s="38">
        <f t="shared" si="46"/>
        <v>28800</v>
      </c>
      <c r="E73" s="38"/>
      <c r="F73" s="45"/>
      <c r="G73" s="46">
        <f t="shared" si="52"/>
        <v>28800</v>
      </c>
      <c r="H73" s="41">
        <f t="shared" si="53"/>
        <v>0</v>
      </c>
      <c r="I73" s="41">
        <f t="shared" si="53"/>
        <v>6027.1492952992967</v>
      </c>
      <c r="J73" s="47">
        <f t="shared" si="53"/>
        <v>0</v>
      </c>
      <c r="K73" s="47">
        <f t="shared" si="53"/>
        <v>0</v>
      </c>
      <c r="L73" s="92">
        <f t="shared" si="30"/>
        <v>6027.1492952992967</v>
      </c>
      <c r="M73" s="91">
        <f>IF($A73=O$20,'Construction Costs_2022'!$K$43+'Construction Costs_2022'!$K$7,0)</f>
        <v>0</v>
      </c>
      <c r="N73" s="38">
        <f t="shared" si="31"/>
        <v>43200</v>
      </c>
      <c r="O73" s="38"/>
      <c r="P73" s="45"/>
      <c r="Q73" s="46">
        <f t="shared" si="54"/>
        <v>43200</v>
      </c>
      <c r="R73" s="41">
        <f t="shared" ref="R73:R104" si="58">M73*$B73</f>
        <v>0</v>
      </c>
      <c r="S73" s="41">
        <f t="shared" si="47"/>
        <v>9040.7239429489455</v>
      </c>
      <c r="T73" s="47">
        <f t="shared" si="48"/>
        <v>0</v>
      </c>
      <c r="U73" s="47">
        <f t="shared" si="10"/>
        <v>0</v>
      </c>
      <c r="V73" s="92">
        <f t="shared" si="33"/>
        <v>9040.7239429489455</v>
      </c>
      <c r="W73" s="82">
        <f>IF($A73=Y$20,'Construction Costs_2022'!$K$64+'Construction Costs_2022'!$K$7,0)</f>
        <v>0</v>
      </c>
      <c r="X73" s="38">
        <f t="shared" si="34"/>
        <v>0</v>
      </c>
      <c r="Y73" s="38"/>
      <c r="Z73" s="45"/>
      <c r="AA73" s="46">
        <f t="shared" si="55"/>
        <v>0</v>
      </c>
      <c r="AB73" s="41">
        <f t="shared" ref="AB73:AD104" si="59">W73*$B73</f>
        <v>0</v>
      </c>
      <c r="AC73" s="41">
        <f t="shared" si="59"/>
        <v>0</v>
      </c>
      <c r="AD73" s="47">
        <f t="shared" si="59"/>
        <v>0</v>
      </c>
      <c r="AE73" s="47">
        <f t="shared" si="12"/>
        <v>0</v>
      </c>
      <c r="AF73" s="92">
        <f t="shared" si="36"/>
        <v>0</v>
      </c>
      <c r="AG73" s="82">
        <f>IF($A73=AI$20,'Construction Costs_2022'!$K$84+'Construction Costs_2022'!$K$7,0)</f>
        <v>0</v>
      </c>
      <c r="AH73" s="38">
        <f t="shared" si="37"/>
        <v>0</v>
      </c>
      <c r="AI73" s="38"/>
      <c r="AJ73" s="45"/>
      <c r="AK73" s="46">
        <f t="shared" si="56"/>
        <v>0</v>
      </c>
      <c r="AL73" s="41">
        <f t="shared" si="14"/>
        <v>0</v>
      </c>
      <c r="AM73" s="41">
        <f t="shared" si="15"/>
        <v>0</v>
      </c>
      <c r="AN73" s="47">
        <f t="shared" si="16"/>
        <v>0</v>
      </c>
      <c r="AO73" s="47">
        <f t="shared" si="17"/>
        <v>0</v>
      </c>
      <c r="AP73" s="92">
        <f t="shared" si="38"/>
        <v>0</v>
      </c>
      <c r="AQ73" s="82">
        <f>IF($A73=AS$20,'Construction Costs_2022'!$K$104+'Construction Costs_2022'!$K$7,0)</f>
        <v>0</v>
      </c>
      <c r="AR73" s="38">
        <f t="shared" si="39"/>
        <v>0</v>
      </c>
      <c r="AS73" s="38"/>
      <c r="AT73" s="45"/>
      <c r="AU73" s="46">
        <f t="shared" si="57"/>
        <v>0</v>
      </c>
      <c r="AV73" s="41">
        <f t="shared" si="19"/>
        <v>0</v>
      </c>
      <c r="AW73" s="41">
        <f t="shared" si="20"/>
        <v>0</v>
      </c>
      <c r="AX73" s="47">
        <f t="shared" si="21"/>
        <v>0</v>
      </c>
      <c r="AY73" s="47">
        <f t="shared" si="22"/>
        <v>0</v>
      </c>
      <c r="AZ73" s="92">
        <f t="shared" si="40"/>
        <v>0</v>
      </c>
      <c r="BA73" s="82">
        <f>IF($A73=BC$20,'Construction Costs_2022'!$K$104+'Construction Costs_2022'!$K$7,0)</f>
        <v>0</v>
      </c>
      <c r="BB73" s="38">
        <f t="shared" si="41"/>
        <v>0</v>
      </c>
      <c r="BC73" s="38"/>
      <c r="BD73" s="45"/>
      <c r="BE73" s="46">
        <f t="shared" si="45"/>
        <v>0</v>
      </c>
      <c r="BF73" s="41">
        <f t="shared" si="24"/>
        <v>0</v>
      </c>
      <c r="BG73" s="41">
        <f t="shared" si="25"/>
        <v>0</v>
      </c>
      <c r="BH73" s="47">
        <f t="shared" si="26"/>
        <v>0</v>
      </c>
      <c r="BI73" s="47">
        <f t="shared" si="27"/>
        <v>0</v>
      </c>
      <c r="BJ73" s="92">
        <f t="shared" si="42"/>
        <v>0</v>
      </c>
    </row>
    <row r="74" spans="1:62" s="3" customFormat="1" ht="12.75" x14ac:dyDescent="0.2">
      <c r="A74" s="12">
        <f t="shared" si="28"/>
        <v>49</v>
      </c>
      <c r="B74" s="13">
        <f t="shared" si="51"/>
        <v>0.20318059922125459</v>
      </c>
      <c r="C74" s="82">
        <f>IF($A74=E$20,'Construction Costs_2022'!$K$22+'Construction Costs_2022'!$K$7,0)</f>
        <v>0</v>
      </c>
      <c r="D74" s="38">
        <f t="shared" si="46"/>
        <v>28800</v>
      </c>
      <c r="E74" s="38"/>
      <c r="F74" s="45"/>
      <c r="G74" s="46">
        <f t="shared" si="52"/>
        <v>28800</v>
      </c>
      <c r="H74" s="41">
        <f t="shared" si="53"/>
        <v>0</v>
      </c>
      <c r="I74" s="41">
        <f t="shared" si="53"/>
        <v>5851.6012575721325</v>
      </c>
      <c r="J74" s="47">
        <f t="shared" si="53"/>
        <v>0</v>
      </c>
      <c r="K74" s="47">
        <f t="shared" si="53"/>
        <v>0</v>
      </c>
      <c r="L74" s="92">
        <f t="shared" si="30"/>
        <v>5851.6012575721325</v>
      </c>
      <c r="M74" s="91">
        <f>IF($A74=O$20,'Construction Costs_2022'!$K$43+'Construction Costs_2022'!$K$7,0)</f>
        <v>0</v>
      </c>
      <c r="N74" s="38">
        <f t="shared" si="31"/>
        <v>43200</v>
      </c>
      <c r="O74" s="38"/>
      <c r="P74" s="45"/>
      <c r="Q74" s="46">
        <f t="shared" si="54"/>
        <v>43200</v>
      </c>
      <c r="R74" s="41">
        <f t="shared" si="58"/>
        <v>0</v>
      </c>
      <c r="S74" s="41">
        <f t="shared" si="47"/>
        <v>8777.4018863581987</v>
      </c>
      <c r="T74" s="47">
        <f t="shared" si="48"/>
        <v>0</v>
      </c>
      <c r="U74" s="47">
        <f t="shared" si="10"/>
        <v>0</v>
      </c>
      <c r="V74" s="92">
        <f t="shared" si="33"/>
        <v>8777.4018863581987</v>
      </c>
      <c r="W74" s="82">
        <f>IF($A74=Y$20,'Construction Costs_2022'!$K$64+'Construction Costs_2022'!$K$7,0)</f>
        <v>0</v>
      </c>
      <c r="X74" s="38">
        <f t="shared" si="34"/>
        <v>0</v>
      </c>
      <c r="Y74" s="38"/>
      <c r="Z74" s="45"/>
      <c r="AA74" s="46">
        <f t="shared" si="55"/>
        <v>0</v>
      </c>
      <c r="AB74" s="41">
        <f t="shared" si="59"/>
        <v>0</v>
      </c>
      <c r="AC74" s="41">
        <f t="shared" si="59"/>
        <v>0</v>
      </c>
      <c r="AD74" s="47">
        <f t="shared" si="59"/>
        <v>0</v>
      </c>
      <c r="AE74" s="47">
        <f t="shared" si="12"/>
        <v>0</v>
      </c>
      <c r="AF74" s="92">
        <f t="shared" si="36"/>
        <v>0</v>
      </c>
      <c r="AG74" s="82">
        <f>IF($A74=AI$20,'Construction Costs_2022'!$K$84+'Construction Costs_2022'!$K$7,0)</f>
        <v>0</v>
      </c>
      <c r="AH74" s="38">
        <f t="shared" si="37"/>
        <v>0</v>
      </c>
      <c r="AI74" s="38"/>
      <c r="AJ74" s="45"/>
      <c r="AK74" s="46">
        <f t="shared" si="56"/>
        <v>0</v>
      </c>
      <c r="AL74" s="41">
        <f t="shared" si="14"/>
        <v>0</v>
      </c>
      <c r="AM74" s="41">
        <f t="shared" si="15"/>
        <v>0</v>
      </c>
      <c r="AN74" s="47">
        <f t="shared" si="16"/>
        <v>0</v>
      </c>
      <c r="AO74" s="47">
        <f t="shared" si="17"/>
        <v>0</v>
      </c>
      <c r="AP74" s="92">
        <f t="shared" si="38"/>
        <v>0</v>
      </c>
      <c r="AQ74" s="82">
        <f>IF($A74=AS$20,'Construction Costs_2022'!$K$104+'Construction Costs_2022'!$K$7,0)</f>
        <v>0</v>
      </c>
      <c r="AR74" s="38">
        <f t="shared" si="39"/>
        <v>0</v>
      </c>
      <c r="AS74" s="38"/>
      <c r="AT74" s="45"/>
      <c r="AU74" s="46">
        <f t="shared" si="57"/>
        <v>0</v>
      </c>
      <c r="AV74" s="41">
        <f t="shared" si="19"/>
        <v>0</v>
      </c>
      <c r="AW74" s="41">
        <f t="shared" si="20"/>
        <v>0</v>
      </c>
      <c r="AX74" s="47">
        <f t="shared" si="21"/>
        <v>0</v>
      </c>
      <c r="AY74" s="47">
        <f t="shared" si="22"/>
        <v>0</v>
      </c>
      <c r="AZ74" s="92">
        <f t="shared" si="40"/>
        <v>0</v>
      </c>
      <c r="BA74" s="82">
        <f>IF($A74=BC$20,'Construction Costs_2022'!$K$104+'Construction Costs_2022'!$K$7,0)</f>
        <v>0</v>
      </c>
      <c r="BB74" s="38">
        <f t="shared" si="41"/>
        <v>0</v>
      </c>
      <c r="BC74" s="38"/>
      <c r="BD74" s="45"/>
      <c r="BE74" s="46">
        <f t="shared" si="45"/>
        <v>0</v>
      </c>
      <c r="BF74" s="41">
        <f t="shared" si="24"/>
        <v>0</v>
      </c>
      <c r="BG74" s="41">
        <f t="shared" si="25"/>
        <v>0</v>
      </c>
      <c r="BH74" s="47">
        <f t="shared" si="26"/>
        <v>0</v>
      </c>
      <c r="BI74" s="47">
        <f t="shared" si="27"/>
        <v>0</v>
      </c>
      <c r="BJ74" s="92">
        <f t="shared" si="42"/>
        <v>0</v>
      </c>
    </row>
    <row r="75" spans="1:62" s="3" customFormat="1" ht="12.75" x14ac:dyDescent="0.2">
      <c r="A75" s="12">
        <f t="shared" si="28"/>
        <v>50</v>
      </c>
      <c r="B75" s="13">
        <f t="shared" si="51"/>
        <v>0.19726271769053844</v>
      </c>
      <c r="C75" s="82">
        <f>IF($A75=E$20,'Construction Costs_2022'!$K$22+'Construction Costs_2022'!$K$7,0)</f>
        <v>0</v>
      </c>
      <c r="D75" s="38">
        <f t="shared" si="46"/>
        <v>28800</v>
      </c>
      <c r="E75" s="38"/>
      <c r="F75" s="45"/>
      <c r="G75" s="46">
        <f t="shared" si="52"/>
        <v>28800</v>
      </c>
      <c r="H75" s="41">
        <f t="shared" si="53"/>
        <v>0</v>
      </c>
      <c r="I75" s="41">
        <f t="shared" si="53"/>
        <v>5681.1662694875067</v>
      </c>
      <c r="J75" s="47">
        <f t="shared" si="53"/>
        <v>0</v>
      </c>
      <c r="K75" s="47">
        <f t="shared" si="53"/>
        <v>0</v>
      </c>
      <c r="L75" s="92">
        <f t="shared" si="30"/>
        <v>5681.1662694875067</v>
      </c>
      <c r="M75" s="91">
        <f>IF($A75=O$20,'Construction Costs_2022'!$K$43+'Construction Costs_2022'!$K$7,0)</f>
        <v>0</v>
      </c>
      <c r="N75" s="38">
        <f t="shared" si="31"/>
        <v>43200</v>
      </c>
      <c r="O75" s="38"/>
      <c r="P75" s="45"/>
      <c r="Q75" s="46">
        <f t="shared" si="54"/>
        <v>43200</v>
      </c>
      <c r="R75" s="41">
        <f t="shared" si="58"/>
        <v>0</v>
      </c>
      <c r="S75" s="41">
        <f t="shared" si="47"/>
        <v>8521.749404231261</v>
      </c>
      <c r="T75" s="47">
        <f t="shared" si="48"/>
        <v>0</v>
      </c>
      <c r="U75" s="47">
        <f t="shared" si="10"/>
        <v>0</v>
      </c>
      <c r="V75" s="92">
        <f t="shared" si="33"/>
        <v>8521.749404231261</v>
      </c>
      <c r="W75" s="82">
        <f>IF($A75=Y$20,'Construction Costs_2022'!$K$64+'Construction Costs_2022'!$K$7,0)</f>
        <v>0</v>
      </c>
      <c r="X75" s="38">
        <f t="shared" si="34"/>
        <v>0</v>
      </c>
      <c r="Y75" s="38"/>
      <c r="Z75" s="45"/>
      <c r="AA75" s="46">
        <f t="shared" si="55"/>
        <v>0</v>
      </c>
      <c r="AB75" s="41">
        <f t="shared" si="59"/>
        <v>0</v>
      </c>
      <c r="AC75" s="41">
        <f t="shared" si="59"/>
        <v>0</v>
      </c>
      <c r="AD75" s="47">
        <f t="shared" si="59"/>
        <v>0</v>
      </c>
      <c r="AE75" s="47">
        <f t="shared" si="12"/>
        <v>0</v>
      </c>
      <c r="AF75" s="92">
        <f t="shared" si="36"/>
        <v>0</v>
      </c>
      <c r="AG75" s="82">
        <f>IF($A75=AI$20,'Construction Costs_2022'!$K$84+'Construction Costs_2022'!$K$7,0)</f>
        <v>0</v>
      </c>
      <c r="AH75" s="38">
        <f t="shared" si="37"/>
        <v>0</v>
      </c>
      <c r="AI75" s="38"/>
      <c r="AJ75" s="45"/>
      <c r="AK75" s="46">
        <f t="shared" si="56"/>
        <v>0</v>
      </c>
      <c r="AL75" s="41">
        <f t="shared" si="14"/>
        <v>0</v>
      </c>
      <c r="AM75" s="41">
        <f t="shared" si="15"/>
        <v>0</v>
      </c>
      <c r="AN75" s="47">
        <f t="shared" si="16"/>
        <v>0</v>
      </c>
      <c r="AO75" s="47">
        <f t="shared" si="17"/>
        <v>0</v>
      </c>
      <c r="AP75" s="92">
        <f t="shared" si="38"/>
        <v>0</v>
      </c>
      <c r="AQ75" s="82">
        <f>IF($A75=AS$20,'Construction Costs_2022'!$K$104+'Construction Costs_2022'!$K$7,0)</f>
        <v>0</v>
      </c>
      <c r="AR75" s="38">
        <f t="shared" si="39"/>
        <v>0</v>
      </c>
      <c r="AS75" s="38"/>
      <c r="AT75" s="45"/>
      <c r="AU75" s="46">
        <f t="shared" si="57"/>
        <v>0</v>
      </c>
      <c r="AV75" s="41">
        <f t="shared" si="19"/>
        <v>0</v>
      </c>
      <c r="AW75" s="41">
        <f t="shared" si="20"/>
        <v>0</v>
      </c>
      <c r="AX75" s="47">
        <f t="shared" si="21"/>
        <v>0</v>
      </c>
      <c r="AY75" s="47">
        <f t="shared" si="22"/>
        <v>0</v>
      </c>
      <c r="AZ75" s="92">
        <f t="shared" si="40"/>
        <v>0</v>
      </c>
      <c r="BA75" s="82">
        <f>IF($A75=BC$20,'Construction Costs_2022'!$K$104+'Construction Costs_2022'!$K$7,0)</f>
        <v>0</v>
      </c>
      <c r="BB75" s="38">
        <f t="shared" si="41"/>
        <v>0</v>
      </c>
      <c r="BC75" s="38"/>
      <c r="BD75" s="45"/>
      <c r="BE75" s="46">
        <f t="shared" si="45"/>
        <v>0</v>
      </c>
      <c r="BF75" s="41">
        <f t="shared" si="24"/>
        <v>0</v>
      </c>
      <c r="BG75" s="41">
        <f t="shared" si="25"/>
        <v>0</v>
      </c>
      <c r="BH75" s="47">
        <f t="shared" si="26"/>
        <v>0</v>
      </c>
      <c r="BI75" s="47">
        <f t="shared" si="27"/>
        <v>0</v>
      </c>
      <c r="BJ75" s="92">
        <f t="shared" si="42"/>
        <v>0</v>
      </c>
    </row>
    <row r="76" spans="1:62" s="3" customFormat="1" ht="12.75" x14ac:dyDescent="0.2">
      <c r="A76" s="12">
        <f t="shared" si="28"/>
        <v>51</v>
      </c>
      <c r="B76" s="13">
        <f t="shared" si="51"/>
        <v>0.19151720164129946</v>
      </c>
      <c r="C76" s="82">
        <f>IF($A76=E$20,'Construction Costs_2022'!$K$22+'Construction Costs_2022'!$K$7,0)</f>
        <v>0</v>
      </c>
      <c r="D76" s="38">
        <f t="shared" si="46"/>
        <v>28800</v>
      </c>
      <c r="E76" s="38"/>
      <c r="F76" s="45"/>
      <c r="G76" s="46">
        <f t="shared" si="52"/>
        <v>28800</v>
      </c>
      <c r="H76" s="41">
        <f t="shared" si="53"/>
        <v>0</v>
      </c>
      <c r="I76" s="41">
        <f t="shared" si="53"/>
        <v>5515.6954072694243</v>
      </c>
      <c r="J76" s="47">
        <f t="shared" si="53"/>
        <v>0</v>
      </c>
      <c r="K76" s="47">
        <f t="shared" si="53"/>
        <v>0</v>
      </c>
      <c r="L76" s="92">
        <f t="shared" si="30"/>
        <v>5515.6954072694243</v>
      </c>
      <c r="M76" s="91">
        <f>IF($A76=O$20,'Construction Costs_2022'!$K$43+'Construction Costs_2022'!$K$7,0)</f>
        <v>0</v>
      </c>
      <c r="N76" s="38">
        <f t="shared" si="31"/>
        <v>43200</v>
      </c>
      <c r="O76" s="38"/>
      <c r="P76" s="45"/>
      <c r="Q76" s="46">
        <f t="shared" si="54"/>
        <v>43200</v>
      </c>
      <c r="R76" s="41">
        <f t="shared" si="58"/>
        <v>0</v>
      </c>
      <c r="S76" s="41">
        <f t="shared" si="47"/>
        <v>8273.5431109041365</v>
      </c>
      <c r="T76" s="47">
        <f t="shared" si="48"/>
        <v>0</v>
      </c>
      <c r="U76" s="47">
        <f t="shared" si="10"/>
        <v>0</v>
      </c>
      <c r="V76" s="92">
        <f t="shared" si="33"/>
        <v>8273.5431109041365</v>
      </c>
      <c r="W76" s="82">
        <f>IF($A76=Y$20,'Construction Costs_2022'!$K$64+'Construction Costs_2022'!$K$7,0)</f>
        <v>0</v>
      </c>
      <c r="X76" s="38">
        <f t="shared" si="34"/>
        <v>0</v>
      </c>
      <c r="Y76" s="38"/>
      <c r="Z76" s="45"/>
      <c r="AA76" s="46">
        <f t="shared" si="55"/>
        <v>0</v>
      </c>
      <c r="AB76" s="41">
        <f t="shared" si="59"/>
        <v>0</v>
      </c>
      <c r="AC76" s="41">
        <f t="shared" si="59"/>
        <v>0</v>
      </c>
      <c r="AD76" s="47">
        <f t="shared" si="59"/>
        <v>0</v>
      </c>
      <c r="AE76" s="47">
        <f t="shared" si="12"/>
        <v>0</v>
      </c>
      <c r="AF76" s="92">
        <f t="shared" si="36"/>
        <v>0</v>
      </c>
      <c r="AG76" s="82">
        <f>IF($A76=AI$20,'Construction Costs_2022'!$K$84+'Construction Costs_2022'!$K$7,0)</f>
        <v>0</v>
      </c>
      <c r="AH76" s="38">
        <f t="shared" si="37"/>
        <v>0</v>
      </c>
      <c r="AI76" s="38"/>
      <c r="AJ76" s="45"/>
      <c r="AK76" s="46">
        <f t="shared" si="56"/>
        <v>0</v>
      </c>
      <c r="AL76" s="41">
        <f t="shared" si="14"/>
        <v>0</v>
      </c>
      <c r="AM76" s="41">
        <f t="shared" si="15"/>
        <v>0</v>
      </c>
      <c r="AN76" s="47">
        <f t="shared" si="16"/>
        <v>0</v>
      </c>
      <c r="AO76" s="47">
        <f t="shared" si="17"/>
        <v>0</v>
      </c>
      <c r="AP76" s="92">
        <f t="shared" si="38"/>
        <v>0</v>
      </c>
      <c r="AQ76" s="82">
        <f>IF($A76=AS$20,'Construction Costs_2022'!$K$104+'Construction Costs_2022'!$K$7,0)</f>
        <v>0</v>
      </c>
      <c r="AR76" s="38">
        <f t="shared" si="39"/>
        <v>0</v>
      </c>
      <c r="AS76" s="38"/>
      <c r="AT76" s="45"/>
      <c r="AU76" s="46">
        <f t="shared" si="57"/>
        <v>0</v>
      </c>
      <c r="AV76" s="41">
        <f t="shared" si="19"/>
        <v>0</v>
      </c>
      <c r="AW76" s="41">
        <f t="shared" si="20"/>
        <v>0</v>
      </c>
      <c r="AX76" s="47">
        <f t="shared" si="21"/>
        <v>0</v>
      </c>
      <c r="AY76" s="47">
        <f t="shared" si="22"/>
        <v>0</v>
      </c>
      <c r="AZ76" s="92">
        <f t="shared" si="40"/>
        <v>0</v>
      </c>
      <c r="BA76" s="82">
        <f>IF($A76=BC$20,'Construction Costs_2022'!$K$104+'Construction Costs_2022'!$K$7,0)</f>
        <v>0</v>
      </c>
      <c r="BB76" s="38">
        <f t="shared" si="41"/>
        <v>0</v>
      </c>
      <c r="BC76" s="38"/>
      <c r="BD76" s="45"/>
      <c r="BE76" s="46">
        <f t="shared" si="45"/>
        <v>0</v>
      </c>
      <c r="BF76" s="41">
        <f t="shared" si="24"/>
        <v>0</v>
      </c>
      <c r="BG76" s="41">
        <f t="shared" si="25"/>
        <v>0</v>
      </c>
      <c r="BH76" s="47">
        <f t="shared" si="26"/>
        <v>0</v>
      </c>
      <c r="BI76" s="47">
        <f t="shared" si="27"/>
        <v>0</v>
      </c>
      <c r="BJ76" s="92">
        <f t="shared" si="42"/>
        <v>0</v>
      </c>
    </row>
    <row r="77" spans="1:62" s="3" customFormat="1" ht="12.75" x14ac:dyDescent="0.2">
      <c r="A77" s="12">
        <f t="shared" si="28"/>
        <v>52</v>
      </c>
      <c r="B77" s="13">
        <f t="shared" si="51"/>
        <v>0.18593903071970821</v>
      </c>
      <c r="C77" s="82">
        <f>IF($A77=E$20,'Construction Costs_2022'!$K$22+'Construction Costs_2022'!$K$7,0)</f>
        <v>0</v>
      </c>
      <c r="D77" s="38">
        <f t="shared" si="46"/>
        <v>1328900</v>
      </c>
      <c r="E77" s="38"/>
      <c r="F77" s="45"/>
      <c r="G77" s="46">
        <f t="shared" si="52"/>
        <v>1328900</v>
      </c>
      <c r="H77" s="41">
        <f t="shared" si="53"/>
        <v>0</v>
      </c>
      <c r="I77" s="41">
        <f>D77*$B77</f>
        <v>247094.37792342025</v>
      </c>
      <c r="J77" s="47">
        <f t="shared" si="53"/>
        <v>0</v>
      </c>
      <c r="K77" s="47">
        <f t="shared" si="53"/>
        <v>0</v>
      </c>
      <c r="L77" s="92">
        <f t="shared" si="30"/>
        <v>247094.37792342025</v>
      </c>
      <c r="M77" s="91">
        <f>IF($A77=O$20,'Construction Costs_2022'!$K$43+'Construction Costs_2022'!$K$7,0)</f>
        <v>0</v>
      </c>
      <c r="N77" s="38">
        <f t="shared" si="31"/>
        <v>1234840</v>
      </c>
      <c r="O77" s="38"/>
      <c r="P77" s="45"/>
      <c r="Q77" s="46">
        <f t="shared" si="54"/>
        <v>1234840</v>
      </c>
      <c r="R77" s="41">
        <f t="shared" si="58"/>
        <v>0</v>
      </c>
      <c r="S77" s="41">
        <f t="shared" si="47"/>
        <v>229604.95269392448</v>
      </c>
      <c r="T77" s="47">
        <f t="shared" si="48"/>
        <v>0</v>
      </c>
      <c r="U77" s="47">
        <f t="shared" si="10"/>
        <v>0</v>
      </c>
      <c r="V77" s="92">
        <f t="shared" si="33"/>
        <v>229604.95269392448</v>
      </c>
      <c r="W77" s="82">
        <f>IF($A77=Y$20,'Construction Costs_2022'!$K$64+'Construction Costs_2022'!$K$7,0)</f>
        <v>0</v>
      </c>
      <c r="X77" s="38">
        <f t="shared" si="34"/>
        <v>946280</v>
      </c>
      <c r="Y77" s="38"/>
      <c r="Z77" s="45"/>
      <c r="AA77" s="46">
        <f t="shared" si="55"/>
        <v>946280</v>
      </c>
      <c r="AB77" s="41">
        <f t="shared" si="59"/>
        <v>0</v>
      </c>
      <c r="AC77" s="41">
        <f t="shared" si="59"/>
        <v>175950.38598944549</v>
      </c>
      <c r="AD77" s="47">
        <f t="shared" si="59"/>
        <v>0</v>
      </c>
      <c r="AE77" s="47">
        <f t="shared" si="12"/>
        <v>0</v>
      </c>
      <c r="AF77" s="92">
        <f t="shared" si="36"/>
        <v>175950.38598944549</v>
      </c>
      <c r="AG77" s="82">
        <f>IF($A77=AI$20,'Construction Costs_2022'!$K$84+'Construction Costs_2022'!$K$7,0)</f>
        <v>0</v>
      </c>
      <c r="AH77" s="38">
        <f t="shared" si="37"/>
        <v>903260</v>
      </c>
      <c r="AI77" s="38"/>
      <c r="AJ77" s="45"/>
      <c r="AK77" s="46">
        <f t="shared" si="56"/>
        <v>903260</v>
      </c>
      <c r="AL77" s="41">
        <f t="shared" si="14"/>
        <v>0</v>
      </c>
      <c r="AM77" s="41">
        <f t="shared" si="15"/>
        <v>167951.28888788365</v>
      </c>
      <c r="AN77" s="47">
        <f t="shared" si="16"/>
        <v>0</v>
      </c>
      <c r="AO77" s="47">
        <f t="shared" si="17"/>
        <v>0</v>
      </c>
      <c r="AP77" s="92">
        <f t="shared" si="38"/>
        <v>167951.28888788365</v>
      </c>
      <c r="AQ77" s="82">
        <f>IF($A77=AS$20,'Construction Costs_2022'!$K$104+'Construction Costs_2022'!$K$7,0)</f>
        <v>0</v>
      </c>
      <c r="AR77" s="38">
        <f t="shared" si="39"/>
        <v>1032320</v>
      </c>
      <c r="AS77" s="38"/>
      <c r="AT77" s="45"/>
      <c r="AU77" s="46">
        <f t="shared" si="57"/>
        <v>1032320</v>
      </c>
      <c r="AV77" s="41">
        <f t="shared" si="19"/>
        <v>0</v>
      </c>
      <c r="AW77" s="41">
        <f t="shared" si="20"/>
        <v>191948.58019256918</v>
      </c>
      <c r="AX77" s="47">
        <f t="shared" si="21"/>
        <v>0</v>
      </c>
      <c r="AY77" s="47">
        <f t="shared" si="22"/>
        <v>0</v>
      </c>
      <c r="AZ77" s="92">
        <f t="shared" si="40"/>
        <v>191948.58019256918</v>
      </c>
      <c r="BA77" s="82">
        <f>IF($A77=BC$20,'Construction Costs_2022'!$K$104+'Construction Costs_2022'!$K$7,0)</f>
        <v>0</v>
      </c>
      <c r="BB77" s="38">
        <f t="shared" si="41"/>
        <v>228530</v>
      </c>
      <c r="BC77" s="38"/>
      <c r="BD77" s="45"/>
      <c r="BE77" s="46">
        <f t="shared" si="45"/>
        <v>228530</v>
      </c>
      <c r="BF77" s="41">
        <f t="shared" si="24"/>
        <v>0</v>
      </c>
      <c r="BG77" s="41">
        <f t="shared" si="25"/>
        <v>42492.646690374917</v>
      </c>
      <c r="BH77" s="47">
        <f t="shared" si="26"/>
        <v>0</v>
      </c>
      <c r="BI77" s="47">
        <f t="shared" si="27"/>
        <v>0</v>
      </c>
      <c r="BJ77" s="92">
        <f t="shared" si="42"/>
        <v>42492.646690374917</v>
      </c>
    </row>
    <row r="78" spans="1:62" s="3" customFormat="1" ht="12.75" x14ac:dyDescent="0.2">
      <c r="A78" s="12">
        <f t="shared" si="28"/>
        <v>53</v>
      </c>
      <c r="B78" s="13">
        <f t="shared" si="51"/>
        <v>0.18052333079583321</v>
      </c>
      <c r="C78" s="82">
        <f>IF($A78=E$20,'Construction Costs_2022'!$K$22+'Construction Costs_2022'!$K$7,0)</f>
        <v>0</v>
      </c>
      <c r="D78" s="38">
        <f t="shared" si="46"/>
        <v>28800</v>
      </c>
      <c r="E78" s="38"/>
      <c r="F78" s="45"/>
      <c r="G78" s="46">
        <f t="shared" si="52"/>
        <v>28800</v>
      </c>
      <c r="H78" s="41">
        <f t="shared" si="53"/>
        <v>0</v>
      </c>
      <c r="I78" s="41">
        <f t="shared" si="53"/>
        <v>5199.0719269199963</v>
      </c>
      <c r="J78" s="47">
        <f t="shared" si="53"/>
        <v>0</v>
      </c>
      <c r="K78" s="47">
        <f t="shared" si="53"/>
        <v>0</v>
      </c>
      <c r="L78" s="92">
        <f t="shared" si="30"/>
        <v>5199.0719269199963</v>
      </c>
      <c r="M78" s="91">
        <f>IF($A78=O$20,'Construction Costs_2022'!$K$43+'Construction Costs_2022'!$K$7,0)</f>
        <v>0</v>
      </c>
      <c r="N78" s="38">
        <f t="shared" si="31"/>
        <v>43200</v>
      </c>
      <c r="O78" s="38"/>
      <c r="P78" s="45"/>
      <c r="Q78" s="46">
        <f t="shared" si="54"/>
        <v>43200</v>
      </c>
      <c r="R78" s="41">
        <f t="shared" si="58"/>
        <v>0</v>
      </c>
      <c r="S78" s="41">
        <f t="shared" si="47"/>
        <v>7798.6078903799953</v>
      </c>
      <c r="T78" s="47">
        <f t="shared" si="48"/>
        <v>0</v>
      </c>
      <c r="U78" s="47">
        <f t="shared" si="10"/>
        <v>0</v>
      </c>
      <c r="V78" s="92">
        <f t="shared" si="33"/>
        <v>7798.6078903799953</v>
      </c>
      <c r="W78" s="82">
        <f>IF($A78=Y$20,'Construction Costs_2022'!$K$64+'Construction Costs_2022'!$K$7,0)</f>
        <v>0</v>
      </c>
      <c r="X78" s="38">
        <f t="shared" si="34"/>
        <v>0</v>
      </c>
      <c r="Y78" s="38"/>
      <c r="Z78" s="45"/>
      <c r="AA78" s="46">
        <f t="shared" si="55"/>
        <v>0</v>
      </c>
      <c r="AB78" s="41">
        <f t="shared" si="59"/>
        <v>0</v>
      </c>
      <c r="AC78" s="41">
        <f t="shared" si="59"/>
        <v>0</v>
      </c>
      <c r="AD78" s="47">
        <f t="shared" si="59"/>
        <v>0</v>
      </c>
      <c r="AE78" s="47">
        <f t="shared" si="12"/>
        <v>0</v>
      </c>
      <c r="AF78" s="92">
        <f t="shared" si="36"/>
        <v>0</v>
      </c>
      <c r="AG78" s="82">
        <f>IF($A78=AI$20,'Construction Costs_2022'!$K$84+'Construction Costs_2022'!$K$7,0)</f>
        <v>0</v>
      </c>
      <c r="AH78" s="38">
        <f t="shared" si="37"/>
        <v>0</v>
      </c>
      <c r="AI78" s="38"/>
      <c r="AJ78" s="45"/>
      <c r="AK78" s="46">
        <f t="shared" si="56"/>
        <v>0</v>
      </c>
      <c r="AL78" s="41">
        <f t="shared" si="14"/>
        <v>0</v>
      </c>
      <c r="AM78" s="41">
        <f t="shared" si="15"/>
        <v>0</v>
      </c>
      <c r="AN78" s="47">
        <f t="shared" si="16"/>
        <v>0</v>
      </c>
      <c r="AO78" s="47">
        <f t="shared" si="17"/>
        <v>0</v>
      </c>
      <c r="AP78" s="92">
        <f t="shared" si="38"/>
        <v>0</v>
      </c>
      <c r="AQ78" s="82">
        <f>IF($A78=AS$20,'Construction Costs_2022'!$K$104+'Construction Costs_2022'!$K$7,0)</f>
        <v>0</v>
      </c>
      <c r="AR78" s="38">
        <f t="shared" si="39"/>
        <v>0</v>
      </c>
      <c r="AS78" s="38"/>
      <c r="AT78" s="45"/>
      <c r="AU78" s="46">
        <f t="shared" si="57"/>
        <v>0</v>
      </c>
      <c r="AV78" s="41">
        <f t="shared" si="19"/>
        <v>0</v>
      </c>
      <c r="AW78" s="41">
        <f t="shared" si="20"/>
        <v>0</v>
      </c>
      <c r="AX78" s="47">
        <f t="shared" si="21"/>
        <v>0</v>
      </c>
      <c r="AY78" s="47">
        <f t="shared" si="22"/>
        <v>0</v>
      </c>
      <c r="AZ78" s="92">
        <f t="shared" si="40"/>
        <v>0</v>
      </c>
      <c r="BA78" s="82">
        <f>IF($A78=BC$20,'Construction Costs_2022'!$K$104+'Construction Costs_2022'!$K$7,0)</f>
        <v>0</v>
      </c>
      <c r="BB78" s="38">
        <f t="shared" si="41"/>
        <v>0</v>
      </c>
      <c r="BC78" s="38"/>
      <c r="BD78" s="45"/>
      <c r="BE78" s="46">
        <f t="shared" si="45"/>
        <v>0</v>
      </c>
      <c r="BF78" s="41">
        <f t="shared" si="24"/>
        <v>0</v>
      </c>
      <c r="BG78" s="41">
        <f t="shared" si="25"/>
        <v>0</v>
      </c>
      <c r="BH78" s="47">
        <f t="shared" si="26"/>
        <v>0</v>
      </c>
      <c r="BI78" s="47">
        <f t="shared" si="27"/>
        <v>0</v>
      </c>
      <c r="BJ78" s="92">
        <f t="shared" si="42"/>
        <v>0</v>
      </c>
    </row>
    <row r="79" spans="1:62" s="3" customFormat="1" ht="12.75" x14ac:dyDescent="0.2">
      <c r="A79" s="12">
        <f t="shared" si="28"/>
        <v>54</v>
      </c>
      <c r="B79" s="13">
        <f t="shared" si="51"/>
        <v>0.17526536970469245</v>
      </c>
      <c r="C79" s="82">
        <f>IF($A79=E$20,'Construction Costs_2022'!$K$22+'Construction Costs_2022'!$K$7,0)</f>
        <v>0</v>
      </c>
      <c r="D79" s="38">
        <f t="shared" si="46"/>
        <v>28800</v>
      </c>
      <c r="E79" s="38"/>
      <c r="F79" s="45"/>
      <c r="G79" s="46">
        <f t="shared" si="52"/>
        <v>28800</v>
      </c>
      <c r="H79" s="41">
        <f t="shared" si="53"/>
        <v>0</v>
      </c>
      <c r="I79" s="41">
        <f t="shared" si="53"/>
        <v>5047.6426474951422</v>
      </c>
      <c r="J79" s="47">
        <f t="shared" si="53"/>
        <v>0</v>
      </c>
      <c r="K79" s="47">
        <f t="shared" si="53"/>
        <v>0</v>
      </c>
      <c r="L79" s="92">
        <f t="shared" si="30"/>
        <v>5047.6426474951422</v>
      </c>
      <c r="M79" s="91">
        <f>IF($A79=O$20,'Construction Costs_2022'!$K$43+'Construction Costs_2022'!$K$7,0)</f>
        <v>0</v>
      </c>
      <c r="N79" s="38">
        <f t="shared" si="31"/>
        <v>43200</v>
      </c>
      <c r="O79" s="38"/>
      <c r="P79" s="45"/>
      <c r="Q79" s="46">
        <f t="shared" si="54"/>
        <v>43200</v>
      </c>
      <c r="R79" s="41">
        <f t="shared" si="58"/>
        <v>0</v>
      </c>
      <c r="S79" s="41">
        <f t="shared" si="47"/>
        <v>7571.4639712427133</v>
      </c>
      <c r="T79" s="47">
        <f t="shared" si="48"/>
        <v>0</v>
      </c>
      <c r="U79" s="47">
        <f t="shared" si="10"/>
        <v>0</v>
      </c>
      <c r="V79" s="92">
        <f t="shared" si="33"/>
        <v>7571.4639712427133</v>
      </c>
      <c r="W79" s="82">
        <f>IF($A79=Y$20,'Construction Costs_2022'!$K$64+'Construction Costs_2022'!$K$7,0)</f>
        <v>0</v>
      </c>
      <c r="X79" s="38">
        <f t="shared" si="34"/>
        <v>0</v>
      </c>
      <c r="Y79" s="38"/>
      <c r="Z79" s="45"/>
      <c r="AA79" s="46">
        <f t="shared" si="55"/>
        <v>0</v>
      </c>
      <c r="AB79" s="41">
        <f t="shared" si="59"/>
        <v>0</v>
      </c>
      <c r="AC79" s="41">
        <f t="shared" si="59"/>
        <v>0</v>
      </c>
      <c r="AD79" s="47">
        <f t="shared" si="59"/>
        <v>0</v>
      </c>
      <c r="AE79" s="47">
        <f t="shared" si="12"/>
        <v>0</v>
      </c>
      <c r="AF79" s="92">
        <f t="shared" si="36"/>
        <v>0</v>
      </c>
      <c r="AG79" s="82">
        <f>IF($A79=AI$20,'Construction Costs_2022'!$K$84+'Construction Costs_2022'!$K$7,0)</f>
        <v>0</v>
      </c>
      <c r="AH79" s="38">
        <f t="shared" si="37"/>
        <v>0</v>
      </c>
      <c r="AI79" s="38"/>
      <c r="AJ79" s="45"/>
      <c r="AK79" s="46">
        <f t="shared" si="56"/>
        <v>0</v>
      </c>
      <c r="AL79" s="41">
        <f t="shared" si="14"/>
        <v>0</v>
      </c>
      <c r="AM79" s="41">
        <f t="shared" si="15"/>
        <v>0</v>
      </c>
      <c r="AN79" s="47">
        <f t="shared" si="16"/>
        <v>0</v>
      </c>
      <c r="AO79" s="47">
        <f t="shared" si="17"/>
        <v>0</v>
      </c>
      <c r="AP79" s="92">
        <f t="shared" si="38"/>
        <v>0</v>
      </c>
      <c r="AQ79" s="82">
        <f>IF($A79=AS$20,'Construction Costs_2022'!$K$104+'Construction Costs_2022'!$K$7,0)</f>
        <v>0</v>
      </c>
      <c r="AR79" s="38">
        <f t="shared" si="39"/>
        <v>0</v>
      </c>
      <c r="AS79" s="38"/>
      <c r="AT79" s="45"/>
      <c r="AU79" s="46">
        <f t="shared" si="57"/>
        <v>0</v>
      </c>
      <c r="AV79" s="41">
        <f t="shared" si="19"/>
        <v>0</v>
      </c>
      <c r="AW79" s="41">
        <f t="shared" si="20"/>
        <v>0</v>
      </c>
      <c r="AX79" s="47">
        <f t="shared" si="21"/>
        <v>0</v>
      </c>
      <c r="AY79" s="47">
        <f t="shared" si="22"/>
        <v>0</v>
      </c>
      <c r="AZ79" s="92">
        <f t="shared" si="40"/>
        <v>0</v>
      </c>
      <c r="BA79" s="82">
        <f>IF($A79=BC$20,'Construction Costs_2022'!$K$104+'Construction Costs_2022'!$K$7,0)</f>
        <v>0</v>
      </c>
      <c r="BB79" s="38">
        <f t="shared" si="41"/>
        <v>0</v>
      </c>
      <c r="BC79" s="38"/>
      <c r="BD79" s="45"/>
      <c r="BE79" s="46">
        <f t="shared" si="45"/>
        <v>0</v>
      </c>
      <c r="BF79" s="41">
        <f t="shared" si="24"/>
        <v>0</v>
      </c>
      <c r="BG79" s="41">
        <f t="shared" si="25"/>
        <v>0</v>
      </c>
      <c r="BH79" s="47">
        <f t="shared" si="26"/>
        <v>0</v>
      </c>
      <c r="BI79" s="47">
        <f t="shared" si="27"/>
        <v>0</v>
      </c>
      <c r="BJ79" s="92">
        <f t="shared" si="42"/>
        <v>0</v>
      </c>
    </row>
    <row r="80" spans="1:62" s="3" customFormat="1" ht="12.75" x14ac:dyDescent="0.2">
      <c r="A80" s="12">
        <f t="shared" si="28"/>
        <v>55</v>
      </c>
      <c r="B80" s="13">
        <f t="shared" si="51"/>
        <v>0.17016055311135189</v>
      </c>
      <c r="C80" s="82">
        <f>IF($A80=E$20,'Construction Costs_2022'!$K$22+'Construction Costs_2022'!$K$7,0)</f>
        <v>0</v>
      </c>
      <c r="D80" s="38">
        <f t="shared" si="46"/>
        <v>28800</v>
      </c>
      <c r="E80" s="38"/>
      <c r="F80" s="45"/>
      <c r="G80" s="46">
        <f t="shared" si="52"/>
        <v>28800</v>
      </c>
      <c r="H80" s="41">
        <f t="shared" si="53"/>
        <v>0</v>
      </c>
      <c r="I80" s="41">
        <f t="shared" si="53"/>
        <v>4900.6239296069343</v>
      </c>
      <c r="J80" s="47">
        <f t="shared" si="53"/>
        <v>0</v>
      </c>
      <c r="K80" s="47">
        <f t="shared" si="53"/>
        <v>0</v>
      </c>
      <c r="L80" s="92">
        <f t="shared" si="30"/>
        <v>4900.6239296069343</v>
      </c>
      <c r="M80" s="91">
        <f>IF($A80=O$20,'Construction Costs_2022'!$K$43+'Construction Costs_2022'!$K$7,0)</f>
        <v>0</v>
      </c>
      <c r="N80" s="38">
        <f t="shared" si="31"/>
        <v>43200</v>
      </c>
      <c r="O80" s="38"/>
      <c r="P80" s="45"/>
      <c r="Q80" s="46">
        <f t="shared" si="54"/>
        <v>43200</v>
      </c>
      <c r="R80" s="41">
        <f t="shared" si="58"/>
        <v>0</v>
      </c>
      <c r="S80" s="41">
        <f t="shared" si="47"/>
        <v>7350.9358944104015</v>
      </c>
      <c r="T80" s="47">
        <f t="shared" si="48"/>
        <v>0</v>
      </c>
      <c r="U80" s="47">
        <f t="shared" si="10"/>
        <v>0</v>
      </c>
      <c r="V80" s="92">
        <f t="shared" si="33"/>
        <v>7350.9358944104015</v>
      </c>
      <c r="W80" s="82">
        <f>IF($A80=Y$20,'Construction Costs_2022'!$K$64+'Construction Costs_2022'!$K$7,0)</f>
        <v>0</v>
      </c>
      <c r="X80" s="38">
        <f t="shared" si="34"/>
        <v>0</v>
      </c>
      <c r="Y80" s="38"/>
      <c r="Z80" s="45"/>
      <c r="AA80" s="46">
        <f t="shared" si="55"/>
        <v>0</v>
      </c>
      <c r="AB80" s="41">
        <f t="shared" si="59"/>
        <v>0</v>
      </c>
      <c r="AC80" s="41">
        <f t="shared" si="59"/>
        <v>0</v>
      </c>
      <c r="AD80" s="47">
        <f t="shared" si="59"/>
        <v>0</v>
      </c>
      <c r="AE80" s="47">
        <f t="shared" si="12"/>
        <v>0</v>
      </c>
      <c r="AF80" s="92">
        <f t="shared" si="36"/>
        <v>0</v>
      </c>
      <c r="AG80" s="82">
        <f>IF($A80=AI$20,'Construction Costs_2022'!$K$84+'Construction Costs_2022'!$K$7,0)</f>
        <v>0</v>
      </c>
      <c r="AH80" s="38">
        <f t="shared" si="37"/>
        <v>0</v>
      </c>
      <c r="AI80" s="38"/>
      <c r="AJ80" s="45"/>
      <c r="AK80" s="46">
        <f t="shared" si="56"/>
        <v>0</v>
      </c>
      <c r="AL80" s="41">
        <f t="shared" si="14"/>
        <v>0</v>
      </c>
      <c r="AM80" s="41">
        <f t="shared" si="15"/>
        <v>0</v>
      </c>
      <c r="AN80" s="47">
        <f t="shared" si="16"/>
        <v>0</v>
      </c>
      <c r="AO80" s="47">
        <f t="shared" si="17"/>
        <v>0</v>
      </c>
      <c r="AP80" s="92">
        <f t="shared" si="38"/>
        <v>0</v>
      </c>
      <c r="AQ80" s="82">
        <f>IF($A80=AS$20,'Construction Costs_2022'!$K$104+'Construction Costs_2022'!$K$7,0)</f>
        <v>0</v>
      </c>
      <c r="AR80" s="38">
        <f t="shared" si="39"/>
        <v>0</v>
      </c>
      <c r="AS80" s="38"/>
      <c r="AT80" s="45"/>
      <c r="AU80" s="46">
        <f t="shared" si="57"/>
        <v>0</v>
      </c>
      <c r="AV80" s="41">
        <f t="shared" si="19"/>
        <v>0</v>
      </c>
      <c r="AW80" s="41">
        <f t="shared" si="20"/>
        <v>0</v>
      </c>
      <c r="AX80" s="47">
        <f t="shared" si="21"/>
        <v>0</v>
      </c>
      <c r="AY80" s="47">
        <f t="shared" si="22"/>
        <v>0</v>
      </c>
      <c r="AZ80" s="92">
        <f t="shared" si="40"/>
        <v>0</v>
      </c>
      <c r="BA80" s="82">
        <f>IF($A80=BC$20,'Construction Costs_2022'!$K$104+'Construction Costs_2022'!$K$7,0)</f>
        <v>0</v>
      </c>
      <c r="BB80" s="38">
        <f t="shared" si="41"/>
        <v>0</v>
      </c>
      <c r="BC80" s="38"/>
      <c r="BD80" s="45"/>
      <c r="BE80" s="46">
        <f t="shared" si="45"/>
        <v>0</v>
      </c>
      <c r="BF80" s="41">
        <f t="shared" si="24"/>
        <v>0</v>
      </c>
      <c r="BG80" s="41">
        <f t="shared" si="25"/>
        <v>0</v>
      </c>
      <c r="BH80" s="47">
        <f t="shared" si="26"/>
        <v>0</v>
      </c>
      <c r="BI80" s="47">
        <f t="shared" si="27"/>
        <v>0</v>
      </c>
      <c r="BJ80" s="92">
        <f t="shared" si="42"/>
        <v>0</v>
      </c>
    </row>
    <row r="81" spans="1:62" s="3" customFormat="1" ht="12.75" x14ac:dyDescent="0.2">
      <c r="A81" s="12">
        <f t="shared" si="28"/>
        <v>56</v>
      </c>
      <c r="B81" s="13">
        <f t="shared" si="51"/>
        <v>0.16520442049645814</v>
      </c>
      <c r="C81" s="82">
        <f>IF($A81=E$20,'Construction Costs_2022'!$K$22+'Construction Costs_2022'!$K$7,0)</f>
        <v>0</v>
      </c>
      <c r="D81" s="38">
        <f t="shared" si="46"/>
        <v>28800</v>
      </c>
      <c r="E81" s="38"/>
      <c r="F81" s="45"/>
      <c r="G81" s="46">
        <f t="shared" si="52"/>
        <v>28800</v>
      </c>
      <c r="H81" s="41">
        <f t="shared" si="53"/>
        <v>0</v>
      </c>
      <c r="I81" s="41">
        <f t="shared" si="53"/>
        <v>4757.8873102979942</v>
      </c>
      <c r="J81" s="47">
        <f t="shared" si="53"/>
        <v>0</v>
      </c>
      <c r="K81" s="47">
        <f t="shared" si="53"/>
        <v>0</v>
      </c>
      <c r="L81" s="92">
        <f t="shared" si="30"/>
        <v>4757.8873102979942</v>
      </c>
      <c r="M81" s="91">
        <f>IF($A81=O$20,'Construction Costs_2022'!$K$43+'Construction Costs_2022'!$K$7,0)</f>
        <v>0</v>
      </c>
      <c r="N81" s="38">
        <f t="shared" si="31"/>
        <v>43200</v>
      </c>
      <c r="O81" s="38"/>
      <c r="P81" s="45"/>
      <c r="Q81" s="46">
        <f t="shared" si="54"/>
        <v>43200</v>
      </c>
      <c r="R81" s="41">
        <f t="shared" si="58"/>
        <v>0</v>
      </c>
      <c r="S81" s="41">
        <f t="shared" si="47"/>
        <v>7136.8309654469922</v>
      </c>
      <c r="T81" s="47">
        <f t="shared" si="48"/>
        <v>0</v>
      </c>
      <c r="U81" s="47">
        <f t="shared" si="10"/>
        <v>0</v>
      </c>
      <c r="V81" s="92">
        <f t="shared" si="33"/>
        <v>7136.8309654469922</v>
      </c>
      <c r="W81" s="82">
        <f>IF($A81=Y$20,'Construction Costs_2022'!$K$64+'Construction Costs_2022'!$K$7,0)</f>
        <v>0</v>
      </c>
      <c r="X81" s="38">
        <f t="shared" si="34"/>
        <v>0</v>
      </c>
      <c r="Y81" s="38"/>
      <c r="Z81" s="45"/>
      <c r="AA81" s="46">
        <f t="shared" si="55"/>
        <v>0</v>
      </c>
      <c r="AB81" s="41">
        <f t="shared" si="59"/>
        <v>0</v>
      </c>
      <c r="AC81" s="41">
        <f t="shared" si="59"/>
        <v>0</v>
      </c>
      <c r="AD81" s="47">
        <f t="shared" si="59"/>
        <v>0</v>
      </c>
      <c r="AE81" s="47">
        <f t="shared" si="12"/>
        <v>0</v>
      </c>
      <c r="AF81" s="92">
        <f t="shared" si="36"/>
        <v>0</v>
      </c>
      <c r="AG81" s="82">
        <f>IF($A81=AI$20,'Construction Costs_2022'!$K$84+'Construction Costs_2022'!$K$7,0)</f>
        <v>0</v>
      </c>
      <c r="AH81" s="38">
        <f t="shared" si="37"/>
        <v>0</v>
      </c>
      <c r="AI81" s="38"/>
      <c r="AJ81" s="45"/>
      <c r="AK81" s="46">
        <f t="shared" si="56"/>
        <v>0</v>
      </c>
      <c r="AL81" s="41">
        <f t="shared" si="14"/>
        <v>0</v>
      </c>
      <c r="AM81" s="41">
        <f t="shared" si="15"/>
        <v>0</v>
      </c>
      <c r="AN81" s="47">
        <f t="shared" si="16"/>
        <v>0</v>
      </c>
      <c r="AO81" s="47">
        <f t="shared" si="17"/>
        <v>0</v>
      </c>
      <c r="AP81" s="92">
        <f t="shared" si="38"/>
        <v>0</v>
      </c>
      <c r="AQ81" s="82">
        <f>IF($A81=AS$20,'Construction Costs_2022'!$K$104+'Construction Costs_2022'!$K$7,0)</f>
        <v>0</v>
      </c>
      <c r="AR81" s="38">
        <f t="shared" si="39"/>
        <v>0</v>
      </c>
      <c r="AS81" s="38"/>
      <c r="AT81" s="45"/>
      <c r="AU81" s="46">
        <f t="shared" si="57"/>
        <v>0</v>
      </c>
      <c r="AV81" s="41">
        <f t="shared" si="19"/>
        <v>0</v>
      </c>
      <c r="AW81" s="41">
        <f t="shared" si="20"/>
        <v>0</v>
      </c>
      <c r="AX81" s="47">
        <f t="shared" si="21"/>
        <v>0</v>
      </c>
      <c r="AY81" s="47">
        <f t="shared" si="22"/>
        <v>0</v>
      </c>
      <c r="AZ81" s="92">
        <f t="shared" si="40"/>
        <v>0</v>
      </c>
      <c r="BA81" s="82">
        <f>IF($A81=BC$20,'Construction Costs_2022'!$K$104+'Construction Costs_2022'!$K$7,0)</f>
        <v>0</v>
      </c>
      <c r="BB81" s="38">
        <f t="shared" si="41"/>
        <v>0</v>
      </c>
      <c r="BC81" s="38"/>
      <c r="BD81" s="45"/>
      <c r="BE81" s="46">
        <f t="shared" si="45"/>
        <v>0</v>
      </c>
      <c r="BF81" s="41">
        <f t="shared" si="24"/>
        <v>0</v>
      </c>
      <c r="BG81" s="41">
        <f t="shared" si="25"/>
        <v>0</v>
      </c>
      <c r="BH81" s="47">
        <f t="shared" si="26"/>
        <v>0</v>
      </c>
      <c r="BI81" s="47">
        <f t="shared" si="27"/>
        <v>0</v>
      </c>
      <c r="BJ81" s="92">
        <f t="shared" si="42"/>
        <v>0</v>
      </c>
    </row>
    <row r="82" spans="1:62" s="3" customFormat="1" ht="12.75" x14ac:dyDescent="0.2">
      <c r="A82" s="12">
        <f t="shared" si="28"/>
        <v>57</v>
      </c>
      <c r="B82" s="13">
        <f t="shared" si="51"/>
        <v>0.16039264125869723</v>
      </c>
      <c r="C82" s="82">
        <f>IF($A82=E$20,'Construction Costs_2022'!$K$22+'Construction Costs_2022'!$K$7,0)</f>
        <v>0</v>
      </c>
      <c r="D82" s="38">
        <f t="shared" si="46"/>
        <v>28800</v>
      </c>
      <c r="E82" s="38"/>
      <c r="F82" s="45"/>
      <c r="G82" s="46">
        <f t="shared" si="52"/>
        <v>28800</v>
      </c>
      <c r="H82" s="41">
        <f t="shared" si="53"/>
        <v>0</v>
      </c>
      <c r="I82" s="41">
        <f t="shared" si="53"/>
        <v>4619.3080682504806</v>
      </c>
      <c r="J82" s="47">
        <f t="shared" si="53"/>
        <v>0</v>
      </c>
      <c r="K82" s="47">
        <f t="shared" si="53"/>
        <v>0</v>
      </c>
      <c r="L82" s="92">
        <f t="shared" si="30"/>
        <v>4619.3080682504806</v>
      </c>
      <c r="M82" s="91">
        <f>IF($A82=O$20,'Construction Costs_2022'!$K$43+'Construction Costs_2022'!$K$7,0)</f>
        <v>0</v>
      </c>
      <c r="N82" s="38">
        <f t="shared" si="31"/>
        <v>43200</v>
      </c>
      <c r="O82" s="38"/>
      <c r="P82" s="45"/>
      <c r="Q82" s="46">
        <f t="shared" si="54"/>
        <v>43200</v>
      </c>
      <c r="R82" s="41">
        <f t="shared" si="58"/>
        <v>0</v>
      </c>
      <c r="S82" s="41">
        <f t="shared" si="47"/>
        <v>6928.9621023757209</v>
      </c>
      <c r="T82" s="47">
        <f t="shared" si="48"/>
        <v>0</v>
      </c>
      <c r="U82" s="47">
        <f t="shared" si="10"/>
        <v>0</v>
      </c>
      <c r="V82" s="92">
        <f t="shared" si="33"/>
        <v>6928.9621023757209</v>
      </c>
      <c r="W82" s="82">
        <f>IF($A82=Y$20,'Construction Costs_2022'!$K$64+'Construction Costs_2022'!$K$7,0)</f>
        <v>0</v>
      </c>
      <c r="X82" s="38">
        <f t="shared" si="34"/>
        <v>86400</v>
      </c>
      <c r="Y82" s="38"/>
      <c r="Z82" s="45"/>
      <c r="AA82" s="46">
        <f t="shared" si="55"/>
        <v>86400</v>
      </c>
      <c r="AB82" s="41">
        <f t="shared" si="59"/>
        <v>0</v>
      </c>
      <c r="AC82" s="41">
        <f t="shared" si="59"/>
        <v>13857.924204751442</v>
      </c>
      <c r="AD82" s="47">
        <f t="shared" si="59"/>
        <v>0</v>
      </c>
      <c r="AE82" s="47">
        <f t="shared" si="12"/>
        <v>0</v>
      </c>
      <c r="AF82" s="92">
        <f t="shared" si="36"/>
        <v>13857.924204751442</v>
      </c>
      <c r="AG82" s="82">
        <f>IF($A82=AI$20,'Construction Costs_2022'!$K$84+'Construction Costs_2022'!$K$7,0)</f>
        <v>0</v>
      </c>
      <c r="AH82" s="38">
        <f t="shared" si="37"/>
        <v>100800</v>
      </c>
      <c r="AI82" s="38"/>
      <c r="AJ82" s="45"/>
      <c r="AK82" s="46">
        <f t="shared" si="56"/>
        <v>100800</v>
      </c>
      <c r="AL82" s="41">
        <f t="shared" si="14"/>
        <v>0</v>
      </c>
      <c r="AM82" s="41">
        <f t="shared" si="15"/>
        <v>16167.57823887668</v>
      </c>
      <c r="AN82" s="47">
        <f t="shared" si="16"/>
        <v>0</v>
      </c>
      <c r="AO82" s="47">
        <f t="shared" si="17"/>
        <v>0</v>
      </c>
      <c r="AP82" s="92">
        <f t="shared" si="38"/>
        <v>16167.57823887668</v>
      </c>
      <c r="AQ82" s="82">
        <f>IF($A82=AS$20,'Construction Costs_2022'!$K$104+'Construction Costs_2022'!$K$7,0)</f>
        <v>0</v>
      </c>
      <c r="AR82" s="38">
        <f t="shared" si="39"/>
        <v>57600</v>
      </c>
      <c r="AS82" s="38"/>
      <c r="AT82" s="45"/>
      <c r="AU82" s="46">
        <f t="shared" si="57"/>
        <v>57600</v>
      </c>
      <c r="AV82" s="41">
        <f t="shared" si="19"/>
        <v>0</v>
      </c>
      <c r="AW82" s="41">
        <f t="shared" si="20"/>
        <v>9238.6161365009611</v>
      </c>
      <c r="AX82" s="47">
        <f t="shared" si="21"/>
        <v>0</v>
      </c>
      <c r="AY82" s="47">
        <f t="shared" si="22"/>
        <v>0</v>
      </c>
      <c r="AZ82" s="92">
        <f t="shared" si="40"/>
        <v>9238.6161365009611</v>
      </c>
      <c r="BA82" s="82">
        <f>IF($A82=BC$20,'Construction Costs_2022'!$K$104+'Construction Costs_2022'!$K$7,0)</f>
        <v>0</v>
      </c>
      <c r="BB82" s="38">
        <f t="shared" si="41"/>
        <v>86400</v>
      </c>
      <c r="BC82" s="38"/>
      <c r="BD82" s="45"/>
      <c r="BE82" s="46">
        <f t="shared" si="45"/>
        <v>86400</v>
      </c>
      <c r="BF82" s="41">
        <f t="shared" si="24"/>
        <v>0</v>
      </c>
      <c r="BG82" s="41">
        <f t="shared" si="25"/>
        <v>13857.924204751442</v>
      </c>
      <c r="BH82" s="47">
        <f t="shared" si="26"/>
        <v>0</v>
      </c>
      <c r="BI82" s="47">
        <f t="shared" si="27"/>
        <v>0</v>
      </c>
      <c r="BJ82" s="92">
        <f t="shared" si="42"/>
        <v>13857.924204751442</v>
      </c>
    </row>
    <row r="83" spans="1:62" s="3" customFormat="1" ht="12.75" x14ac:dyDescent="0.2">
      <c r="A83" s="12">
        <f t="shared" si="28"/>
        <v>58</v>
      </c>
      <c r="B83" s="13">
        <f t="shared" si="51"/>
        <v>0.15572101093077401</v>
      </c>
      <c r="C83" s="82">
        <f>IF($A83=E$20,'Construction Costs_2022'!$K$22+'Construction Costs_2022'!$K$7,0)</f>
        <v>0</v>
      </c>
      <c r="D83" s="38">
        <f t="shared" si="46"/>
        <v>28800</v>
      </c>
      <c r="E83" s="38"/>
      <c r="F83" s="45"/>
      <c r="G83" s="46">
        <f t="shared" si="52"/>
        <v>28800</v>
      </c>
      <c r="H83" s="41">
        <f t="shared" si="53"/>
        <v>0</v>
      </c>
      <c r="I83" s="41">
        <f t="shared" si="53"/>
        <v>4484.7651148062914</v>
      </c>
      <c r="J83" s="47">
        <f t="shared" si="53"/>
        <v>0</v>
      </c>
      <c r="K83" s="47">
        <f t="shared" si="53"/>
        <v>0</v>
      </c>
      <c r="L83" s="92">
        <f t="shared" si="30"/>
        <v>4484.7651148062914</v>
      </c>
      <c r="M83" s="91">
        <f>IF($A83=O$20,'Construction Costs_2022'!$K$43+'Construction Costs_2022'!$K$7,0)</f>
        <v>0</v>
      </c>
      <c r="N83" s="38">
        <f t="shared" si="31"/>
        <v>43200</v>
      </c>
      <c r="O83" s="38"/>
      <c r="P83" s="45"/>
      <c r="Q83" s="46">
        <f t="shared" si="54"/>
        <v>43200</v>
      </c>
      <c r="R83" s="41">
        <f t="shared" si="58"/>
        <v>0</v>
      </c>
      <c r="S83" s="41">
        <f t="shared" si="47"/>
        <v>6727.1476722094367</v>
      </c>
      <c r="T83" s="47">
        <f t="shared" si="48"/>
        <v>0</v>
      </c>
      <c r="U83" s="47">
        <f t="shared" si="10"/>
        <v>0</v>
      </c>
      <c r="V83" s="92">
        <f t="shared" si="33"/>
        <v>6727.1476722094367</v>
      </c>
      <c r="W83" s="82">
        <f>IF($A83=Y$20,'Construction Costs_2022'!$K$64+'Construction Costs_2022'!$K$7,0)</f>
        <v>0</v>
      </c>
      <c r="X83" s="38">
        <f t="shared" si="34"/>
        <v>0</v>
      </c>
      <c r="Y83" s="38"/>
      <c r="Z83" s="45"/>
      <c r="AA83" s="46">
        <f t="shared" si="55"/>
        <v>0</v>
      </c>
      <c r="AB83" s="41">
        <f t="shared" si="59"/>
        <v>0</v>
      </c>
      <c r="AC83" s="41">
        <f t="shared" si="59"/>
        <v>0</v>
      </c>
      <c r="AD83" s="47">
        <f t="shared" si="59"/>
        <v>0</v>
      </c>
      <c r="AE83" s="47">
        <f t="shared" si="12"/>
        <v>0</v>
      </c>
      <c r="AF83" s="92">
        <f t="shared" si="36"/>
        <v>0</v>
      </c>
      <c r="AG83" s="82">
        <f>IF($A83=AI$20,'Construction Costs_2022'!$K$84+'Construction Costs_2022'!$K$7,0)</f>
        <v>0</v>
      </c>
      <c r="AH83" s="38">
        <f t="shared" si="37"/>
        <v>0</v>
      </c>
      <c r="AI83" s="38"/>
      <c r="AJ83" s="45"/>
      <c r="AK83" s="46">
        <f t="shared" si="56"/>
        <v>0</v>
      </c>
      <c r="AL83" s="41">
        <f t="shared" si="14"/>
        <v>0</v>
      </c>
      <c r="AM83" s="41">
        <f t="shared" si="15"/>
        <v>0</v>
      </c>
      <c r="AN83" s="47">
        <f t="shared" si="16"/>
        <v>0</v>
      </c>
      <c r="AO83" s="47">
        <f t="shared" si="17"/>
        <v>0</v>
      </c>
      <c r="AP83" s="92">
        <f t="shared" si="38"/>
        <v>0</v>
      </c>
      <c r="AQ83" s="82">
        <f>IF($A83=AS$20,'Construction Costs_2022'!$K$104+'Construction Costs_2022'!$K$7,0)</f>
        <v>0</v>
      </c>
      <c r="AR83" s="38">
        <f t="shared" si="39"/>
        <v>0</v>
      </c>
      <c r="AS83" s="38"/>
      <c r="AT83" s="45"/>
      <c r="AU83" s="46">
        <f t="shared" si="57"/>
        <v>0</v>
      </c>
      <c r="AV83" s="41">
        <f t="shared" si="19"/>
        <v>0</v>
      </c>
      <c r="AW83" s="41">
        <f t="shared" si="20"/>
        <v>0</v>
      </c>
      <c r="AX83" s="47">
        <f t="shared" si="21"/>
        <v>0</v>
      </c>
      <c r="AY83" s="47">
        <f t="shared" si="22"/>
        <v>0</v>
      </c>
      <c r="AZ83" s="92">
        <f t="shared" si="40"/>
        <v>0</v>
      </c>
      <c r="BA83" s="82">
        <f>IF($A83=BC$20,'Construction Costs_2022'!$K$104+'Construction Costs_2022'!$K$7,0)</f>
        <v>0</v>
      </c>
      <c r="BB83" s="38">
        <f t="shared" si="41"/>
        <v>0</v>
      </c>
      <c r="BC83" s="38"/>
      <c r="BD83" s="45"/>
      <c r="BE83" s="46">
        <f t="shared" si="45"/>
        <v>0</v>
      </c>
      <c r="BF83" s="41">
        <f t="shared" si="24"/>
        <v>0</v>
      </c>
      <c r="BG83" s="41">
        <f t="shared" si="25"/>
        <v>0</v>
      </c>
      <c r="BH83" s="47">
        <f t="shared" si="26"/>
        <v>0</v>
      </c>
      <c r="BI83" s="47">
        <f t="shared" si="27"/>
        <v>0</v>
      </c>
      <c r="BJ83" s="92">
        <f t="shared" si="42"/>
        <v>0</v>
      </c>
    </row>
    <row r="84" spans="1:62" s="3" customFormat="1" ht="12.75" x14ac:dyDescent="0.2">
      <c r="A84" s="12">
        <f t="shared" si="28"/>
        <v>59</v>
      </c>
      <c r="B84" s="13">
        <f t="shared" si="51"/>
        <v>0.15118544750560584</v>
      </c>
      <c r="C84" s="82">
        <f>IF($A84=E$20,'Construction Costs_2022'!$K$22+'Construction Costs_2022'!$K$7,0)</f>
        <v>0</v>
      </c>
      <c r="D84" s="38">
        <f t="shared" si="46"/>
        <v>28800</v>
      </c>
      <c r="E84" s="38"/>
      <c r="F84" s="45"/>
      <c r="G84" s="46">
        <f t="shared" si="52"/>
        <v>28800</v>
      </c>
      <c r="H84" s="41">
        <f t="shared" si="53"/>
        <v>0</v>
      </c>
      <c r="I84" s="41">
        <f t="shared" si="53"/>
        <v>4354.1408881614479</v>
      </c>
      <c r="J84" s="47">
        <f t="shared" si="53"/>
        <v>0</v>
      </c>
      <c r="K84" s="47">
        <f t="shared" si="53"/>
        <v>0</v>
      </c>
      <c r="L84" s="92">
        <f t="shared" si="30"/>
        <v>4354.1408881614479</v>
      </c>
      <c r="M84" s="91">
        <f>IF($A84=O$20,'Construction Costs_2022'!$K$43+'Construction Costs_2022'!$K$7,0)</f>
        <v>0</v>
      </c>
      <c r="N84" s="38">
        <f t="shared" si="31"/>
        <v>43200</v>
      </c>
      <c r="O84" s="38"/>
      <c r="P84" s="45"/>
      <c r="Q84" s="46">
        <f t="shared" si="54"/>
        <v>43200</v>
      </c>
      <c r="R84" s="41">
        <f t="shared" si="58"/>
        <v>0</v>
      </c>
      <c r="S84" s="41">
        <f t="shared" si="47"/>
        <v>6531.2113322421719</v>
      </c>
      <c r="T84" s="47">
        <f t="shared" si="48"/>
        <v>0</v>
      </c>
      <c r="U84" s="47">
        <f t="shared" si="10"/>
        <v>0</v>
      </c>
      <c r="V84" s="92">
        <f t="shared" si="33"/>
        <v>6531.2113322421719</v>
      </c>
      <c r="W84" s="82">
        <f>IF($A84=Y$20,'Construction Costs_2022'!$K$64+'Construction Costs_2022'!$K$7,0)</f>
        <v>0</v>
      </c>
      <c r="X84" s="38">
        <f t="shared" si="34"/>
        <v>0</v>
      </c>
      <c r="Y84" s="38"/>
      <c r="Z84" s="45"/>
      <c r="AA84" s="46">
        <f t="shared" si="55"/>
        <v>0</v>
      </c>
      <c r="AB84" s="41">
        <f t="shared" si="59"/>
        <v>0</v>
      </c>
      <c r="AC84" s="41">
        <f t="shared" si="59"/>
        <v>0</v>
      </c>
      <c r="AD84" s="47">
        <f t="shared" si="59"/>
        <v>0</v>
      </c>
      <c r="AE84" s="47">
        <f t="shared" si="12"/>
        <v>0</v>
      </c>
      <c r="AF84" s="92">
        <f t="shared" si="36"/>
        <v>0</v>
      </c>
      <c r="AG84" s="82">
        <f>IF($A84=AI$20,'Construction Costs_2022'!$K$84+'Construction Costs_2022'!$K$7,0)</f>
        <v>0</v>
      </c>
      <c r="AH84" s="38">
        <f t="shared" si="37"/>
        <v>0</v>
      </c>
      <c r="AI84" s="38"/>
      <c r="AJ84" s="45"/>
      <c r="AK84" s="46">
        <f t="shared" si="56"/>
        <v>0</v>
      </c>
      <c r="AL84" s="41">
        <f t="shared" si="14"/>
        <v>0</v>
      </c>
      <c r="AM84" s="41">
        <f t="shared" si="15"/>
        <v>0</v>
      </c>
      <c r="AN84" s="47">
        <f t="shared" si="16"/>
        <v>0</v>
      </c>
      <c r="AO84" s="47">
        <f t="shared" si="17"/>
        <v>0</v>
      </c>
      <c r="AP84" s="92">
        <f t="shared" si="38"/>
        <v>0</v>
      </c>
      <c r="AQ84" s="82">
        <f>IF($A84=AS$20,'Construction Costs_2022'!$K$104+'Construction Costs_2022'!$K$7,0)</f>
        <v>0</v>
      </c>
      <c r="AR84" s="38">
        <f t="shared" si="39"/>
        <v>0</v>
      </c>
      <c r="AS84" s="38"/>
      <c r="AT84" s="45"/>
      <c r="AU84" s="46">
        <f t="shared" si="57"/>
        <v>0</v>
      </c>
      <c r="AV84" s="41">
        <f t="shared" si="19"/>
        <v>0</v>
      </c>
      <c r="AW84" s="41">
        <f t="shared" si="20"/>
        <v>0</v>
      </c>
      <c r="AX84" s="47">
        <f t="shared" si="21"/>
        <v>0</v>
      </c>
      <c r="AY84" s="47">
        <f t="shared" si="22"/>
        <v>0</v>
      </c>
      <c r="AZ84" s="92">
        <f t="shared" si="40"/>
        <v>0</v>
      </c>
      <c r="BA84" s="82">
        <f>IF($A84=BC$20,'Construction Costs_2022'!$K$104+'Construction Costs_2022'!$K$7,0)</f>
        <v>0</v>
      </c>
      <c r="BB84" s="38">
        <f t="shared" si="41"/>
        <v>0</v>
      </c>
      <c r="BC84" s="38"/>
      <c r="BD84" s="45"/>
      <c r="BE84" s="46">
        <f t="shared" si="45"/>
        <v>0</v>
      </c>
      <c r="BF84" s="41">
        <f t="shared" si="24"/>
        <v>0</v>
      </c>
      <c r="BG84" s="41">
        <f t="shared" si="25"/>
        <v>0</v>
      </c>
      <c r="BH84" s="47">
        <f t="shared" si="26"/>
        <v>0</v>
      </c>
      <c r="BI84" s="47">
        <f t="shared" si="27"/>
        <v>0</v>
      </c>
      <c r="BJ84" s="92">
        <f t="shared" si="42"/>
        <v>0</v>
      </c>
    </row>
    <row r="85" spans="1:62" s="3" customFormat="1" ht="12.75" x14ac:dyDescent="0.2">
      <c r="A85" s="12">
        <f t="shared" si="28"/>
        <v>60</v>
      </c>
      <c r="B85" s="13">
        <f t="shared" si="51"/>
        <v>0.14678198786952024</v>
      </c>
      <c r="C85" s="82">
        <f>IF($A85=E$20,'Construction Costs_2022'!$K$22+'Construction Costs_2022'!$K$7,0)</f>
        <v>0</v>
      </c>
      <c r="D85" s="38">
        <f t="shared" si="46"/>
        <v>28800</v>
      </c>
      <c r="E85" s="38"/>
      <c r="F85" s="45"/>
      <c r="G85" s="46">
        <f t="shared" si="52"/>
        <v>28800</v>
      </c>
      <c r="H85" s="41">
        <f t="shared" si="53"/>
        <v>0</v>
      </c>
      <c r="I85" s="41">
        <f t="shared" si="53"/>
        <v>4227.3212506421823</v>
      </c>
      <c r="J85" s="47">
        <f t="shared" si="53"/>
        <v>0</v>
      </c>
      <c r="K85" s="47">
        <f t="shared" si="53"/>
        <v>0</v>
      </c>
      <c r="L85" s="92">
        <f t="shared" si="30"/>
        <v>4227.3212506421823</v>
      </c>
      <c r="M85" s="91">
        <f>IF($A85=O$20,'Construction Costs_2022'!$K$43+'Construction Costs_2022'!$K$7,0)</f>
        <v>0</v>
      </c>
      <c r="N85" s="38">
        <f t="shared" si="31"/>
        <v>43200</v>
      </c>
      <c r="O85" s="38"/>
      <c r="P85" s="45"/>
      <c r="Q85" s="46">
        <f t="shared" si="54"/>
        <v>43200</v>
      </c>
      <c r="R85" s="41">
        <f t="shared" si="58"/>
        <v>0</v>
      </c>
      <c r="S85" s="41">
        <f t="shared" si="47"/>
        <v>6340.9818759632744</v>
      </c>
      <c r="T85" s="47">
        <f t="shared" si="48"/>
        <v>0</v>
      </c>
      <c r="U85" s="47">
        <f t="shared" si="10"/>
        <v>0</v>
      </c>
      <c r="V85" s="92">
        <f t="shared" si="33"/>
        <v>6340.9818759632744</v>
      </c>
      <c r="W85" s="82">
        <f>IF($A85=Y$20,'Construction Costs_2022'!$K$64+'Construction Costs_2022'!$K$7,0)</f>
        <v>0</v>
      </c>
      <c r="X85" s="38">
        <f t="shared" si="34"/>
        <v>0</v>
      </c>
      <c r="Y85" s="38"/>
      <c r="Z85" s="45"/>
      <c r="AA85" s="46">
        <f t="shared" si="55"/>
        <v>0</v>
      </c>
      <c r="AB85" s="41">
        <f t="shared" si="59"/>
        <v>0</v>
      </c>
      <c r="AC85" s="41">
        <f t="shared" si="59"/>
        <v>0</v>
      </c>
      <c r="AD85" s="47">
        <f t="shared" si="59"/>
        <v>0</v>
      </c>
      <c r="AE85" s="47">
        <f t="shared" si="12"/>
        <v>0</v>
      </c>
      <c r="AF85" s="92">
        <f t="shared" si="36"/>
        <v>0</v>
      </c>
      <c r="AG85" s="82">
        <f>IF($A85=AI$20,'Construction Costs_2022'!$K$84+'Construction Costs_2022'!$K$7,0)</f>
        <v>0</v>
      </c>
      <c r="AH85" s="38">
        <f t="shared" si="37"/>
        <v>0</v>
      </c>
      <c r="AI85" s="38"/>
      <c r="AJ85" s="45"/>
      <c r="AK85" s="46">
        <f t="shared" si="56"/>
        <v>0</v>
      </c>
      <c r="AL85" s="41">
        <f t="shared" si="14"/>
        <v>0</v>
      </c>
      <c r="AM85" s="41">
        <f t="shared" si="15"/>
        <v>0</v>
      </c>
      <c r="AN85" s="47">
        <f t="shared" si="16"/>
        <v>0</v>
      </c>
      <c r="AO85" s="47">
        <f t="shared" si="17"/>
        <v>0</v>
      </c>
      <c r="AP85" s="92">
        <f t="shared" si="38"/>
        <v>0</v>
      </c>
      <c r="AQ85" s="82">
        <f>IF($A85=AS$20,'Construction Costs_2022'!$K$104+'Construction Costs_2022'!$K$7,0)</f>
        <v>0</v>
      </c>
      <c r="AR85" s="38">
        <f t="shared" si="39"/>
        <v>0</v>
      </c>
      <c r="AS85" s="38"/>
      <c r="AT85" s="45"/>
      <c r="AU85" s="46">
        <f t="shared" si="57"/>
        <v>0</v>
      </c>
      <c r="AV85" s="41">
        <f t="shared" si="19"/>
        <v>0</v>
      </c>
      <c r="AW85" s="41">
        <f t="shared" si="20"/>
        <v>0</v>
      </c>
      <c r="AX85" s="47">
        <f t="shared" si="21"/>
        <v>0</v>
      </c>
      <c r="AY85" s="47">
        <f t="shared" si="22"/>
        <v>0</v>
      </c>
      <c r="AZ85" s="92">
        <f t="shared" si="40"/>
        <v>0</v>
      </c>
      <c r="BA85" s="82">
        <f>IF($A85=BC$20,'Construction Costs_2022'!$K$104+'Construction Costs_2022'!$K$7,0)</f>
        <v>0</v>
      </c>
      <c r="BB85" s="38">
        <f t="shared" si="41"/>
        <v>0</v>
      </c>
      <c r="BC85" s="38"/>
      <c r="BD85" s="45"/>
      <c r="BE85" s="46">
        <f t="shared" si="45"/>
        <v>0</v>
      </c>
      <c r="BF85" s="41">
        <f t="shared" si="24"/>
        <v>0</v>
      </c>
      <c r="BG85" s="41">
        <f t="shared" si="25"/>
        <v>0</v>
      </c>
      <c r="BH85" s="47">
        <f t="shared" si="26"/>
        <v>0</v>
      </c>
      <c r="BI85" s="47">
        <f t="shared" si="27"/>
        <v>0</v>
      </c>
      <c r="BJ85" s="92">
        <f t="shared" si="42"/>
        <v>0</v>
      </c>
    </row>
    <row r="86" spans="1:62" s="3" customFormat="1" ht="12.75" x14ac:dyDescent="0.2">
      <c r="A86" s="12">
        <f t="shared" si="28"/>
        <v>61</v>
      </c>
      <c r="B86" s="13">
        <f t="shared" si="51"/>
        <v>0.14250678433934003</v>
      </c>
      <c r="C86" s="82">
        <f>IF($A86=E$20,'Construction Costs_2022'!$K$22+'Construction Costs_2022'!$K$7,0)</f>
        <v>0</v>
      </c>
      <c r="D86" s="38">
        <f t="shared" si="46"/>
        <v>28800</v>
      </c>
      <c r="E86" s="38"/>
      <c r="F86" s="45"/>
      <c r="G86" s="46">
        <f t="shared" si="52"/>
        <v>28800</v>
      </c>
      <c r="H86" s="41">
        <f t="shared" si="53"/>
        <v>0</v>
      </c>
      <c r="I86" s="41">
        <f t="shared" si="53"/>
        <v>4104.195388972993</v>
      </c>
      <c r="J86" s="47">
        <f t="shared" si="53"/>
        <v>0</v>
      </c>
      <c r="K86" s="47">
        <f t="shared" si="53"/>
        <v>0</v>
      </c>
      <c r="L86" s="92">
        <f t="shared" si="30"/>
        <v>4104.195388972993</v>
      </c>
      <c r="M86" s="91">
        <f>IF($A86=O$20,'Construction Costs_2022'!$K$43+'Construction Costs_2022'!$K$7,0)</f>
        <v>0</v>
      </c>
      <c r="N86" s="38">
        <f t="shared" si="31"/>
        <v>43200</v>
      </c>
      <c r="O86" s="38"/>
      <c r="P86" s="45"/>
      <c r="Q86" s="46">
        <f t="shared" si="54"/>
        <v>43200</v>
      </c>
      <c r="R86" s="41">
        <f t="shared" si="58"/>
        <v>0</v>
      </c>
      <c r="S86" s="41">
        <f t="shared" si="47"/>
        <v>6156.293083459489</v>
      </c>
      <c r="T86" s="47">
        <f t="shared" si="48"/>
        <v>0</v>
      </c>
      <c r="U86" s="47">
        <f t="shared" si="10"/>
        <v>0</v>
      </c>
      <c r="V86" s="92">
        <f t="shared" si="33"/>
        <v>6156.293083459489</v>
      </c>
      <c r="W86" s="82">
        <f>IF($A86=Y$20,'Construction Costs_2022'!$K$64+'Construction Costs_2022'!$K$7,0)</f>
        <v>0</v>
      </c>
      <c r="X86" s="38">
        <f t="shared" si="34"/>
        <v>0</v>
      </c>
      <c r="Y86" s="38"/>
      <c r="Z86" s="45"/>
      <c r="AA86" s="46">
        <f t="shared" si="55"/>
        <v>0</v>
      </c>
      <c r="AB86" s="41">
        <f t="shared" si="59"/>
        <v>0</v>
      </c>
      <c r="AC86" s="41">
        <f t="shared" si="59"/>
        <v>0</v>
      </c>
      <c r="AD86" s="47">
        <f t="shared" si="59"/>
        <v>0</v>
      </c>
      <c r="AE86" s="47">
        <f t="shared" si="12"/>
        <v>0</v>
      </c>
      <c r="AF86" s="92">
        <f t="shared" si="36"/>
        <v>0</v>
      </c>
      <c r="AG86" s="82">
        <f>IF($A86=AI$20,'Construction Costs_2022'!$K$84+'Construction Costs_2022'!$K$7,0)</f>
        <v>0</v>
      </c>
      <c r="AH86" s="38">
        <f t="shared" si="37"/>
        <v>0</v>
      </c>
      <c r="AI86" s="38"/>
      <c r="AJ86" s="45"/>
      <c r="AK86" s="46">
        <f t="shared" si="56"/>
        <v>0</v>
      </c>
      <c r="AL86" s="41">
        <f t="shared" si="14"/>
        <v>0</v>
      </c>
      <c r="AM86" s="41">
        <f t="shared" si="15"/>
        <v>0</v>
      </c>
      <c r="AN86" s="47">
        <f t="shared" si="16"/>
        <v>0</v>
      </c>
      <c r="AO86" s="47">
        <f t="shared" si="17"/>
        <v>0</v>
      </c>
      <c r="AP86" s="92">
        <f t="shared" si="38"/>
        <v>0</v>
      </c>
      <c r="AQ86" s="82">
        <f>IF($A86=AS$20,'Construction Costs_2022'!$K$104+'Construction Costs_2022'!$K$7,0)</f>
        <v>0</v>
      </c>
      <c r="AR86" s="38">
        <f t="shared" si="39"/>
        <v>0</v>
      </c>
      <c r="AS86" s="38"/>
      <c r="AT86" s="45"/>
      <c r="AU86" s="46">
        <f t="shared" si="57"/>
        <v>0</v>
      </c>
      <c r="AV86" s="41">
        <f t="shared" si="19"/>
        <v>0</v>
      </c>
      <c r="AW86" s="41">
        <f t="shared" si="20"/>
        <v>0</v>
      </c>
      <c r="AX86" s="47">
        <f t="shared" si="21"/>
        <v>0</v>
      </c>
      <c r="AY86" s="47">
        <f t="shared" si="22"/>
        <v>0</v>
      </c>
      <c r="AZ86" s="92">
        <f t="shared" si="40"/>
        <v>0</v>
      </c>
      <c r="BA86" s="82">
        <f>IF($A86=BC$20,'Construction Costs_2022'!$K$104+'Construction Costs_2022'!$K$7,0)</f>
        <v>0</v>
      </c>
      <c r="BB86" s="38">
        <f t="shared" si="41"/>
        <v>0</v>
      </c>
      <c r="BC86" s="38"/>
      <c r="BD86" s="45"/>
      <c r="BE86" s="46">
        <f t="shared" si="45"/>
        <v>0</v>
      </c>
      <c r="BF86" s="41">
        <f t="shared" si="24"/>
        <v>0</v>
      </c>
      <c r="BG86" s="41">
        <f t="shared" si="25"/>
        <v>0</v>
      </c>
      <c r="BH86" s="47">
        <f t="shared" si="26"/>
        <v>0</v>
      </c>
      <c r="BI86" s="47">
        <f t="shared" si="27"/>
        <v>0</v>
      </c>
      <c r="BJ86" s="92">
        <f t="shared" si="42"/>
        <v>0</v>
      </c>
    </row>
    <row r="87" spans="1:62" s="3" customFormat="1" ht="12.75" x14ac:dyDescent="0.2">
      <c r="A87" s="12">
        <f t="shared" si="28"/>
        <v>62</v>
      </c>
      <c r="B87" s="13">
        <f t="shared" si="51"/>
        <v>0.13835610130033013</v>
      </c>
      <c r="C87" s="82">
        <f>IF($A87=E$20,'Construction Costs_2022'!$K$22+'Construction Costs_2022'!$K$7,0)</f>
        <v>0</v>
      </c>
      <c r="D87" s="38">
        <f t="shared" si="46"/>
        <v>1401900</v>
      </c>
      <c r="E87" s="38"/>
      <c r="F87" s="45"/>
      <c r="G87" s="46">
        <f t="shared" si="52"/>
        <v>1401900</v>
      </c>
      <c r="H87" s="41">
        <f t="shared" si="53"/>
        <v>0</v>
      </c>
      <c r="I87" s="41">
        <f t="shared" si="53"/>
        <v>193961.41841293281</v>
      </c>
      <c r="J87" s="47">
        <f t="shared" si="53"/>
        <v>0</v>
      </c>
      <c r="K87" s="47">
        <f t="shared" si="53"/>
        <v>0</v>
      </c>
      <c r="L87" s="92">
        <f t="shared" si="30"/>
        <v>193961.41841293281</v>
      </c>
      <c r="M87" s="91">
        <f>IF($A87=O$20,'Construction Costs_2022'!$K$43+'Construction Costs_2022'!$K$7,0)</f>
        <v>0</v>
      </c>
      <c r="N87" s="38">
        <f t="shared" si="31"/>
        <v>1307840</v>
      </c>
      <c r="O87" s="38"/>
      <c r="P87" s="45"/>
      <c r="Q87" s="46">
        <f t="shared" si="54"/>
        <v>1307840</v>
      </c>
      <c r="R87" s="41">
        <f t="shared" si="58"/>
        <v>0</v>
      </c>
      <c r="S87" s="41">
        <f t="shared" si="47"/>
        <v>180947.64352462377</v>
      </c>
      <c r="T87" s="47">
        <f t="shared" si="48"/>
        <v>0</v>
      </c>
      <c r="U87" s="47">
        <f t="shared" si="10"/>
        <v>0</v>
      </c>
      <c r="V87" s="92">
        <f t="shared" si="33"/>
        <v>180947.64352462377</v>
      </c>
      <c r="W87" s="82">
        <f>IF($A87=Y$20,'Construction Costs_2022'!$K$64+'Construction Costs_2022'!$K$7,0)</f>
        <v>0</v>
      </c>
      <c r="X87" s="38">
        <f t="shared" si="34"/>
        <v>1019280</v>
      </c>
      <c r="Y87" s="38"/>
      <c r="Z87" s="45"/>
      <c r="AA87" s="46">
        <f t="shared" si="55"/>
        <v>1019280</v>
      </c>
      <c r="AB87" s="41">
        <f t="shared" si="59"/>
        <v>0</v>
      </c>
      <c r="AC87" s="41">
        <f t="shared" si="59"/>
        <v>141023.6069334005</v>
      </c>
      <c r="AD87" s="47">
        <f t="shared" si="59"/>
        <v>0</v>
      </c>
      <c r="AE87" s="47">
        <f t="shared" si="12"/>
        <v>0</v>
      </c>
      <c r="AF87" s="92">
        <f t="shared" si="36"/>
        <v>141023.6069334005</v>
      </c>
      <c r="AG87" s="82">
        <f>IF($A87=AI$20,'Construction Costs_2022'!$K$84+'Construction Costs_2022'!$K$7,0)</f>
        <v>0</v>
      </c>
      <c r="AH87" s="38">
        <f t="shared" si="37"/>
        <v>976260</v>
      </c>
      <c r="AI87" s="38"/>
      <c r="AJ87" s="45"/>
      <c r="AK87" s="46">
        <f t="shared" si="56"/>
        <v>976260</v>
      </c>
      <c r="AL87" s="41">
        <f t="shared" si="14"/>
        <v>0</v>
      </c>
      <c r="AM87" s="41">
        <f t="shared" si="15"/>
        <v>135071.52745546028</v>
      </c>
      <c r="AN87" s="47">
        <f t="shared" si="16"/>
        <v>0</v>
      </c>
      <c r="AO87" s="47">
        <f t="shared" si="17"/>
        <v>0</v>
      </c>
      <c r="AP87" s="92">
        <f t="shared" si="38"/>
        <v>135071.52745546028</v>
      </c>
      <c r="AQ87" s="82">
        <f>IF($A87=AS$20,'Construction Costs_2022'!$K$104+'Construction Costs_2022'!$K$7,0)</f>
        <v>0</v>
      </c>
      <c r="AR87" s="38">
        <f t="shared" si="39"/>
        <v>1105320</v>
      </c>
      <c r="AS87" s="38"/>
      <c r="AT87" s="45"/>
      <c r="AU87" s="46">
        <f t="shared" si="57"/>
        <v>1105320</v>
      </c>
      <c r="AV87" s="41">
        <f t="shared" si="19"/>
        <v>0</v>
      </c>
      <c r="AW87" s="41">
        <f t="shared" si="20"/>
        <v>152927.76588928091</v>
      </c>
      <c r="AX87" s="47">
        <f t="shared" si="21"/>
        <v>0</v>
      </c>
      <c r="AY87" s="47">
        <f t="shared" si="22"/>
        <v>0</v>
      </c>
      <c r="AZ87" s="92">
        <f t="shared" si="40"/>
        <v>152927.76588928091</v>
      </c>
      <c r="BA87" s="82">
        <f>IF($A87=BC$20,'Construction Costs_2022'!$K$104+'Construction Costs_2022'!$K$7,0)</f>
        <v>0</v>
      </c>
      <c r="BB87" s="38">
        <f t="shared" si="41"/>
        <v>301530</v>
      </c>
      <c r="BC87" s="38"/>
      <c r="BD87" s="45"/>
      <c r="BE87" s="46">
        <f t="shared" si="45"/>
        <v>301530</v>
      </c>
      <c r="BF87" s="41">
        <f t="shared" si="24"/>
        <v>0</v>
      </c>
      <c r="BG87" s="41">
        <f t="shared" si="25"/>
        <v>41718.515225088544</v>
      </c>
      <c r="BH87" s="47">
        <f t="shared" si="26"/>
        <v>0</v>
      </c>
      <c r="BI87" s="47">
        <f t="shared" si="27"/>
        <v>0</v>
      </c>
      <c r="BJ87" s="92">
        <f t="shared" si="42"/>
        <v>41718.515225088544</v>
      </c>
    </row>
    <row r="88" spans="1:62" s="3" customFormat="1" ht="12.75" x14ac:dyDescent="0.2">
      <c r="A88" s="12">
        <f t="shared" si="28"/>
        <v>63</v>
      </c>
      <c r="B88" s="13">
        <f t="shared" si="51"/>
        <v>0.13432631194206809</v>
      </c>
      <c r="C88" s="82">
        <f>IF($A88=E$20,'Construction Costs_2022'!$K$22+'Construction Costs_2022'!$K$7,0)</f>
        <v>0</v>
      </c>
      <c r="D88" s="38">
        <f t="shared" si="46"/>
        <v>28800</v>
      </c>
      <c r="E88" s="38"/>
      <c r="F88" s="45"/>
      <c r="G88" s="46">
        <f t="shared" si="52"/>
        <v>28800</v>
      </c>
      <c r="H88" s="41">
        <f t="shared" si="53"/>
        <v>0</v>
      </c>
      <c r="I88" s="41">
        <f t="shared" si="53"/>
        <v>3868.597783931561</v>
      </c>
      <c r="J88" s="47">
        <f t="shared" si="53"/>
        <v>0</v>
      </c>
      <c r="K88" s="47">
        <f t="shared" si="53"/>
        <v>0</v>
      </c>
      <c r="L88" s="92">
        <f t="shared" si="30"/>
        <v>3868.597783931561</v>
      </c>
      <c r="M88" s="91">
        <f>IF($A88=O$20,'Construction Costs_2022'!$K$43+'Construction Costs_2022'!$K$7,0)</f>
        <v>0</v>
      </c>
      <c r="N88" s="38">
        <f t="shared" si="31"/>
        <v>43200</v>
      </c>
      <c r="O88" s="38"/>
      <c r="P88" s="45"/>
      <c r="Q88" s="46">
        <f t="shared" si="54"/>
        <v>43200</v>
      </c>
      <c r="R88" s="41">
        <f t="shared" si="58"/>
        <v>0</v>
      </c>
      <c r="S88" s="41">
        <f t="shared" si="47"/>
        <v>5802.896675897342</v>
      </c>
      <c r="T88" s="47">
        <f t="shared" si="48"/>
        <v>0</v>
      </c>
      <c r="U88" s="47">
        <f t="shared" si="10"/>
        <v>0</v>
      </c>
      <c r="V88" s="92">
        <f t="shared" si="33"/>
        <v>5802.896675897342</v>
      </c>
      <c r="W88" s="82">
        <f>IF($A88=Y$20,'Construction Costs_2022'!$K$64+'Construction Costs_2022'!$K$7,0)</f>
        <v>0</v>
      </c>
      <c r="X88" s="38">
        <f t="shared" si="34"/>
        <v>0</v>
      </c>
      <c r="Y88" s="38"/>
      <c r="Z88" s="45"/>
      <c r="AA88" s="46">
        <f t="shared" si="55"/>
        <v>0</v>
      </c>
      <c r="AB88" s="41">
        <f t="shared" si="59"/>
        <v>0</v>
      </c>
      <c r="AC88" s="41">
        <f t="shared" si="59"/>
        <v>0</v>
      </c>
      <c r="AD88" s="47">
        <f t="shared" si="59"/>
        <v>0</v>
      </c>
      <c r="AE88" s="47">
        <f t="shared" si="12"/>
        <v>0</v>
      </c>
      <c r="AF88" s="92">
        <f t="shared" si="36"/>
        <v>0</v>
      </c>
      <c r="AG88" s="82">
        <f>IF($A88=AI$20,'Construction Costs_2022'!$K$84+'Construction Costs_2022'!$K$7,0)</f>
        <v>0</v>
      </c>
      <c r="AH88" s="38">
        <f t="shared" si="37"/>
        <v>0</v>
      </c>
      <c r="AI88" s="38"/>
      <c r="AJ88" s="45"/>
      <c r="AK88" s="46">
        <f t="shared" si="56"/>
        <v>0</v>
      </c>
      <c r="AL88" s="41">
        <f t="shared" si="14"/>
        <v>0</v>
      </c>
      <c r="AM88" s="41">
        <f t="shared" si="15"/>
        <v>0</v>
      </c>
      <c r="AN88" s="47">
        <f t="shared" si="16"/>
        <v>0</v>
      </c>
      <c r="AO88" s="47">
        <f t="shared" si="17"/>
        <v>0</v>
      </c>
      <c r="AP88" s="92">
        <f t="shared" si="38"/>
        <v>0</v>
      </c>
      <c r="AQ88" s="82">
        <f>IF($A88=AS$20,'Construction Costs_2022'!$K$104+'Construction Costs_2022'!$K$7,0)</f>
        <v>0</v>
      </c>
      <c r="AR88" s="38">
        <f t="shared" si="39"/>
        <v>0</v>
      </c>
      <c r="AS88" s="38"/>
      <c r="AT88" s="45"/>
      <c r="AU88" s="46">
        <f t="shared" si="57"/>
        <v>0</v>
      </c>
      <c r="AV88" s="41">
        <f t="shared" si="19"/>
        <v>0</v>
      </c>
      <c r="AW88" s="41">
        <f t="shared" si="20"/>
        <v>0</v>
      </c>
      <c r="AX88" s="47">
        <f t="shared" si="21"/>
        <v>0</v>
      </c>
      <c r="AY88" s="47">
        <f t="shared" si="22"/>
        <v>0</v>
      </c>
      <c r="AZ88" s="92">
        <f t="shared" si="40"/>
        <v>0</v>
      </c>
      <c r="BA88" s="82">
        <f>IF($A88=BC$20,'Construction Costs_2022'!$K$104+'Construction Costs_2022'!$K$7,0)</f>
        <v>0</v>
      </c>
      <c r="BB88" s="38">
        <f t="shared" si="41"/>
        <v>0</v>
      </c>
      <c r="BC88" s="38"/>
      <c r="BD88" s="45"/>
      <c r="BE88" s="46">
        <f t="shared" si="45"/>
        <v>0</v>
      </c>
      <c r="BF88" s="41">
        <f t="shared" si="24"/>
        <v>0</v>
      </c>
      <c r="BG88" s="41">
        <f t="shared" si="25"/>
        <v>0</v>
      </c>
      <c r="BH88" s="47">
        <f t="shared" si="26"/>
        <v>0</v>
      </c>
      <c r="BI88" s="47">
        <f t="shared" si="27"/>
        <v>0</v>
      </c>
      <c r="BJ88" s="92">
        <f t="shared" si="42"/>
        <v>0</v>
      </c>
    </row>
    <row r="89" spans="1:62" s="3" customFormat="1" ht="12.75" x14ac:dyDescent="0.2">
      <c r="A89" s="12">
        <f t="shared" si="28"/>
        <v>64</v>
      </c>
      <c r="B89" s="13">
        <f>B88/(1+$D$9-0.5%)</f>
        <v>0.1304138950893865</v>
      </c>
      <c r="C89" s="82">
        <f>IF($A89=E$20,'Construction Costs_2022'!$K$22+'Construction Costs_2022'!$K$7,0)</f>
        <v>0</v>
      </c>
      <c r="D89" s="38">
        <f t="shared" si="46"/>
        <v>28800</v>
      </c>
      <c r="E89" s="38"/>
      <c r="F89" s="45"/>
      <c r="G89" s="46">
        <f t="shared" ref="G89:G124" si="60">SUM(C89:F89)</f>
        <v>28800</v>
      </c>
      <c r="H89" s="41">
        <f t="shared" ref="H89:K124" si="61">C89*$B89</f>
        <v>0</v>
      </c>
      <c r="I89" s="41">
        <f t="shared" si="61"/>
        <v>3755.9201785743312</v>
      </c>
      <c r="J89" s="47">
        <f t="shared" si="61"/>
        <v>0</v>
      </c>
      <c r="K89" s="47">
        <f t="shared" si="61"/>
        <v>0</v>
      </c>
      <c r="L89" s="92">
        <f t="shared" si="30"/>
        <v>3755.9201785743312</v>
      </c>
      <c r="M89" s="91">
        <f>IF($A89=O$20,'Construction Costs_2022'!$K$43+'Construction Costs_2022'!$K$7,0)</f>
        <v>0</v>
      </c>
      <c r="N89" s="38">
        <f t="shared" si="31"/>
        <v>43200</v>
      </c>
      <c r="O89" s="38"/>
      <c r="P89" s="45"/>
      <c r="Q89" s="46">
        <f t="shared" ref="Q89:Q124" si="62">SUM(M89:P89)</f>
        <v>43200</v>
      </c>
      <c r="R89" s="41">
        <f t="shared" si="58"/>
        <v>0</v>
      </c>
      <c r="S89" s="41">
        <f t="shared" si="47"/>
        <v>5633.8802678614966</v>
      </c>
      <c r="T89" s="47">
        <f t="shared" si="48"/>
        <v>0</v>
      </c>
      <c r="U89" s="47">
        <f t="shared" ref="U89:U124" si="63">P89*$B89</f>
        <v>0</v>
      </c>
      <c r="V89" s="92">
        <f t="shared" si="33"/>
        <v>5633.8802678614966</v>
      </c>
      <c r="W89" s="82">
        <f>IF($A89=Y$20,'Construction Costs_2022'!$K$64+'Construction Costs_2022'!$K$7,0)</f>
        <v>0</v>
      </c>
      <c r="X89" s="38">
        <f t="shared" si="34"/>
        <v>0</v>
      </c>
      <c r="Y89" s="38"/>
      <c r="Z89" s="45"/>
      <c r="AA89" s="46">
        <f t="shared" ref="AA89:AA124" si="64">SUM(W89:Z89)</f>
        <v>0</v>
      </c>
      <c r="AB89" s="41">
        <f t="shared" si="59"/>
        <v>0</v>
      </c>
      <c r="AC89" s="41">
        <f t="shared" si="59"/>
        <v>0</v>
      </c>
      <c r="AD89" s="47">
        <f t="shared" si="59"/>
        <v>0</v>
      </c>
      <c r="AE89" s="47">
        <f t="shared" ref="AE89:AE124" si="65">Z89*$B89</f>
        <v>0</v>
      </c>
      <c r="AF89" s="92">
        <f t="shared" si="36"/>
        <v>0</v>
      </c>
      <c r="AG89" s="82">
        <f>IF($A89=AI$20,'Construction Costs_2022'!$K$84+'Construction Costs_2022'!$K$7,0)</f>
        <v>0</v>
      </c>
      <c r="AH89" s="38">
        <f t="shared" si="37"/>
        <v>0</v>
      </c>
      <c r="AI89" s="38"/>
      <c r="AJ89" s="45"/>
      <c r="AK89" s="46">
        <f t="shared" si="56"/>
        <v>0</v>
      </c>
      <c r="AL89" s="41">
        <f t="shared" ref="AL89:AL124" si="66">AG89*$B89</f>
        <v>0</v>
      </c>
      <c r="AM89" s="41">
        <f t="shared" ref="AM89:AM124" si="67">AH89*$B89</f>
        <v>0</v>
      </c>
      <c r="AN89" s="47">
        <f t="shared" ref="AN89:AN124" si="68">AI89*$B89</f>
        <v>0</v>
      </c>
      <c r="AO89" s="47">
        <f t="shared" ref="AO89:AO124" si="69">AJ89*$B89</f>
        <v>0</v>
      </c>
      <c r="AP89" s="92">
        <f t="shared" si="38"/>
        <v>0</v>
      </c>
      <c r="AQ89" s="82">
        <f>IF($A89=AS$20,'Construction Costs_2022'!$K$104+'Construction Costs_2022'!$K$7,0)</f>
        <v>0</v>
      </c>
      <c r="AR89" s="38">
        <f t="shared" si="39"/>
        <v>0</v>
      </c>
      <c r="AS89" s="38"/>
      <c r="AT89" s="45"/>
      <c r="AU89" s="46">
        <f t="shared" si="57"/>
        <v>0</v>
      </c>
      <c r="AV89" s="41">
        <f t="shared" ref="AV89:AV124" si="70">AQ89*$B89</f>
        <v>0</v>
      </c>
      <c r="AW89" s="41">
        <f t="shared" ref="AW89:AW124" si="71">AR89*$B89</f>
        <v>0</v>
      </c>
      <c r="AX89" s="47">
        <f t="shared" ref="AX89:AX124" si="72">AS89*$B89</f>
        <v>0</v>
      </c>
      <c r="AY89" s="47">
        <f t="shared" ref="AY89:AY124" si="73">AT89*$B89</f>
        <v>0</v>
      </c>
      <c r="AZ89" s="92">
        <f t="shared" si="40"/>
        <v>0</v>
      </c>
      <c r="BA89" s="82">
        <f>IF($A89=BC$20,'Construction Costs_2022'!$K$104+'Construction Costs_2022'!$K$7,0)</f>
        <v>0</v>
      </c>
      <c r="BB89" s="38">
        <f t="shared" si="41"/>
        <v>0</v>
      </c>
      <c r="BC89" s="38"/>
      <c r="BD89" s="45"/>
      <c r="BE89" s="46">
        <f t="shared" si="45"/>
        <v>0</v>
      </c>
      <c r="BF89" s="41">
        <f t="shared" ref="BF89:BF124" si="74">BA89*$B89</f>
        <v>0</v>
      </c>
      <c r="BG89" s="41">
        <f t="shared" ref="BG89:BG124" si="75">BB89*$B89</f>
        <v>0</v>
      </c>
      <c r="BH89" s="47">
        <f t="shared" ref="BH89:BH124" si="76">BC89*$B89</f>
        <v>0</v>
      </c>
      <c r="BI89" s="47">
        <f t="shared" ref="BI89:BI124" si="77">BD89*$B89</f>
        <v>0</v>
      </c>
      <c r="BJ89" s="92">
        <f t="shared" si="42"/>
        <v>0</v>
      </c>
    </row>
    <row r="90" spans="1:62" s="3" customFormat="1" ht="12.75" x14ac:dyDescent="0.2">
      <c r="A90" s="12">
        <f t="shared" ref="A90:A124" si="78">A89+1</f>
        <v>65</v>
      </c>
      <c r="B90" s="13">
        <f t="shared" si="51"/>
        <v>0.12661543212561796</v>
      </c>
      <c r="C90" s="82">
        <f>IF($A90=E$20,'Construction Costs_2022'!$K$22+'Construction Costs_2022'!$K$7,0)</f>
        <v>0</v>
      </c>
      <c r="D90" s="38">
        <f t="shared" si="46"/>
        <v>28800</v>
      </c>
      <c r="E90" s="38"/>
      <c r="F90" s="45"/>
      <c r="G90" s="46">
        <f t="shared" si="60"/>
        <v>28800</v>
      </c>
      <c r="H90" s="41">
        <f t="shared" si="61"/>
        <v>0</v>
      </c>
      <c r="I90" s="41">
        <f t="shared" si="61"/>
        <v>3646.5244452177972</v>
      </c>
      <c r="J90" s="47">
        <f t="shared" si="61"/>
        <v>0</v>
      </c>
      <c r="K90" s="47">
        <f t="shared" si="61"/>
        <v>0</v>
      </c>
      <c r="L90" s="92">
        <f t="shared" ref="L90:L124" si="79">SUM(H90:K90)</f>
        <v>3646.5244452177972</v>
      </c>
      <c r="M90" s="91">
        <f>IF($A90=O$20,'Construction Costs_2022'!$K$43+'Construction Costs_2022'!$K$7,0)</f>
        <v>0</v>
      </c>
      <c r="N90" s="38">
        <f t="shared" ref="N90:N124" si="80">IF(M90&gt;0,0,SUM(IF(AND(MOD(($A90-O$20),O$13)=0,$A90&gt;=O$20),P$13,0)+IF(AND(MOD(($A90-O$20),O$14)=0,$A90&gt;=O$20),P$14,0)+IF(AND(MOD(($A90-O$20),O$15)=0,$A90&gt;=O$20),P$15,0)+IF(AND(MOD(($A90-O$20),O$16)=0,$A90&gt;=O$20),P$16,0)+IF(AND(MOD(($A90-O$20),O$17)=0,$A90&gt;=O$20),P$17,0)+IF(AND(MOD(($A90-O$20),O$18)=0,$A90&gt;=O$20),P$18,0)+IF(AND(MOD(($A90-O$20),O$19)=0,$A90&gt;=O$20),P$19,0)))</f>
        <v>43200</v>
      </c>
      <c r="O90" s="38"/>
      <c r="P90" s="45"/>
      <c r="Q90" s="46">
        <f t="shared" si="62"/>
        <v>43200</v>
      </c>
      <c r="R90" s="41">
        <f t="shared" si="58"/>
        <v>0</v>
      </c>
      <c r="S90" s="41">
        <f t="shared" si="47"/>
        <v>5469.7866678266955</v>
      </c>
      <c r="T90" s="47">
        <f t="shared" si="48"/>
        <v>0</v>
      </c>
      <c r="U90" s="47">
        <f t="shared" si="63"/>
        <v>0</v>
      </c>
      <c r="V90" s="92">
        <f t="shared" ref="V90:V124" si="81">SUM(R90:U90)</f>
        <v>5469.7866678266955</v>
      </c>
      <c r="W90" s="82">
        <f>IF($A90=Y$20,'Construction Costs_2022'!$K$64+'Construction Costs_2022'!$K$7,0)</f>
        <v>0</v>
      </c>
      <c r="X90" s="38">
        <f t="shared" ref="X90:X124" si="82">IF(W90&gt;0,0,SUM(IF(AND(MOD(($A90-Y$20),Y$13)=0,$A90&gt;=Y$20),Z$13,0)+IF(AND(MOD(($A90-Y$20),Y$14)=0,$A90&gt;=Y$20),Z$14,0)+IF(AND(MOD(($A90-Y$20),Y$15)=0,$A90&gt;=Y$20),Z$15,0)+IF(AND(MOD(($A90-Y$20),Y$16)=0,$A90&gt;=Y$20),Z$16,0)+IF(AND(MOD(($A90-Y$20),Y$17)=0,$A90&gt;=Y$20),Z$17,0)+IF(AND(MOD(($A90-Y$20),Y$18)=0,$A90&gt;=Y$20),Z$18,0)+IF(AND(MOD(($A90-Y$20),Y$19)=0,$A90&gt;=Y$20),Z$19,0)))</f>
        <v>0</v>
      </c>
      <c r="Y90" s="38"/>
      <c r="Z90" s="45"/>
      <c r="AA90" s="46">
        <f t="shared" si="64"/>
        <v>0</v>
      </c>
      <c r="AB90" s="41">
        <f t="shared" si="59"/>
        <v>0</v>
      </c>
      <c r="AC90" s="41">
        <f t="shared" si="59"/>
        <v>0</v>
      </c>
      <c r="AD90" s="47">
        <f t="shared" si="59"/>
        <v>0</v>
      </c>
      <c r="AE90" s="47">
        <f t="shared" si="65"/>
        <v>0</v>
      </c>
      <c r="AF90" s="92">
        <f t="shared" ref="AF90:AF124" si="83">SUM(AB90:AE90)</f>
        <v>0</v>
      </c>
      <c r="AG90" s="82">
        <f>IF($A90=AI$20,'Construction Costs_2022'!$K$84+'Construction Costs_2022'!$K$7,0)</f>
        <v>0</v>
      </c>
      <c r="AH90" s="38">
        <f t="shared" ref="AH90:AH124" si="84">IF(AG90&gt;0,0,SUM(IF(AND(MOD(($A90-AI$20),AI$13)=0,$A90&gt;=AI$20),AJ$13,0)+IF(AND(MOD(($A90-AI$20),AI$14)=0,$A90&gt;=AI$20),AJ$14,0)+IF(AND(MOD(($A90-AI$20),AI$15)=0,$A90&gt;=AI$20),AJ$15,0)+IF(AND(MOD(($A90-AI$20),AI$16)=0,$A90&gt;=AI$20),AJ$16,0)+IF(AND(MOD(($A90-AI$20),AI$17)=0,$A90&gt;=AI$20),AJ$17,0)+IF(AND(MOD(($A90-AI$20),AI$18)=0,$A90&gt;=AI$20),AJ$18,0)+IF(AND(MOD(($A90-AI$20),AI$19)=0,$A90&gt;=AI$20),AJ$19,0)))</f>
        <v>0</v>
      </c>
      <c r="AI90" s="38"/>
      <c r="AJ90" s="45"/>
      <c r="AK90" s="46">
        <f t="shared" si="56"/>
        <v>0</v>
      </c>
      <c r="AL90" s="41">
        <f t="shared" si="66"/>
        <v>0</v>
      </c>
      <c r="AM90" s="41">
        <f t="shared" si="67"/>
        <v>0</v>
      </c>
      <c r="AN90" s="47">
        <f t="shared" si="68"/>
        <v>0</v>
      </c>
      <c r="AO90" s="47">
        <f t="shared" si="69"/>
        <v>0</v>
      </c>
      <c r="AP90" s="92">
        <f t="shared" ref="AP90:AP124" si="85">SUM(AL90:AO90)</f>
        <v>0</v>
      </c>
      <c r="AQ90" s="82">
        <f>IF($A90=AS$20,'Construction Costs_2022'!$K$104+'Construction Costs_2022'!$K$7,0)</f>
        <v>0</v>
      </c>
      <c r="AR90" s="38">
        <f t="shared" ref="AR90:AR124" si="86">IF(AQ90&gt;0,0,SUM(IF(AND(MOD(($A90-AS$20),AS$13)=0,$A90&gt;=AS$20),AT$13,0)+IF(AND(MOD(($A90-AS$20),AS$14)=0,$A90&gt;=AS$20),AT$14,0)+IF(AND(MOD(($A90-AS$20),AS$15)=0,$A90&gt;=AS$20),AT$15,0)+IF(AND(MOD(($A90-AS$20),AS$16)=0,$A90&gt;=AS$20),AT$16,0)+IF(AND(MOD(($A90-AS$20),AS$17)=0,$A90&gt;=AS$20),AT$17,0)+IF(AND(MOD(($A90-AS$20),AS$18)=0,$A90&gt;=AS$20),AT$18,0)+IF(AND(MOD(($A90-AS$20),AS$19)=0,$A90&gt;=AS$20),AT$19,0)))</f>
        <v>0</v>
      </c>
      <c r="AS90" s="38"/>
      <c r="AT90" s="45"/>
      <c r="AU90" s="46">
        <f t="shared" si="57"/>
        <v>0</v>
      </c>
      <c r="AV90" s="41">
        <f t="shared" si="70"/>
        <v>0</v>
      </c>
      <c r="AW90" s="41">
        <f t="shared" si="71"/>
        <v>0</v>
      </c>
      <c r="AX90" s="47">
        <f t="shared" si="72"/>
        <v>0</v>
      </c>
      <c r="AY90" s="47">
        <f t="shared" si="73"/>
        <v>0</v>
      </c>
      <c r="AZ90" s="92">
        <f t="shared" ref="AZ90:AZ124" si="87">SUM(AV90:AY90)</f>
        <v>0</v>
      </c>
      <c r="BA90" s="82">
        <f>IF($A90=BC$20,'Construction Costs_2022'!$K$104+'Construction Costs_2022'!$K$7,0)</f>
        <v>0</v>
      </c>
      <c r="BB90" s="38">
        <f t="shared" ref="BB90:BB124" si="88">IF(BA90&gt;0,0,SUM(IF(AND(MOD(($A90-BC$20),BC$13)=0,$A90&gt;=BC$20),BD$13,0)+IF(AND(MOD(($A90-BC$20),BC$14)=0,$A90&gt;=BC$20),BD$14,0)+IF(AND(MOD(($A90-BC$20),BC$15)=0,$A90&gt;=BC$20),BD$15,0)+IF(AND(MOD(($A90-BC$20),BC$16)=0,$A90&gt;=BC$20),BD$16,0)+IF(AND(MOD(($A90-BC$20),BC$17)=0,$A90&gt;=BC$20),BD$17,0)+IF(AND(MOD(($A90-BC$20),BC$18)=0,$A90&gt;=BC$20),BD$18,0)+IF(AND(MOD(($A90-BC$20),BC$19)=0,$A90&gt;=BC$20),BD$19,0)))</f>
        <v>0</v>
      </c>
      <c r="BC90" s="38"/>
      <c r="BD90" s="45"/>
      <c r="BE90" s="46">
        <f t="shared" si="45"/>
        <v>0</v>
      </c>
      <c r="BF90" s="41">
        <f t="shared" si="74"/>
        <v>0</v>
      </c>
      <c r="BG90" s="41">
        <f t="shared" si="75"/>
        <v>0</v>
      </c>
      <c r="BH90" s="47">
        <f t="shared" si="76"/>
        <v>0</v>
      </c>
      <c r="BI90" s="47">
        <f t="shared" si="77"/>
        <v>0</v>
      </c>
      <c r="BJ90" s="92">
        <f t="shared" ref="BJ90:BJ124" si="89">SUM(BF90:BI90)</f>
        <v>0</v>
      </c>
    </row>
    <row r="91" spans="1:62" s="3" customFormat="1" ht="12.75" x14ac:dyDescent="0.2">
      <c r="A91" s="12">
        <f t="shared" si="78"/>
        <v>66</v>
      </c>
      <c r="B91" s="13">
        <f t="shared" si="51"/>
        <v>0.12292760400545433</v>
      </c>
      <c r="C91" s="82">
        <f>IF($A91=E$20,'Construction Costs_2022'!$K$22+'Construction Costs_2022'!$K$7,0)</f>
        <v>0</v>
      </c>
      <c r="D91" s="38">
        <f t="shared" si="46"/>
        <v>28800</v>
      </c>
      <c r="E91" s="38"/>
      <c r="F91" s="45"/>
      <c r="G91" s="46">
        <f t="shared" si="60"/>
        <v>28800</v>
      </c>
      <c r="H91" s="41">
        <f t="shared" si="61"/>
        <v>0</v>
      </c>
      <c r="I91" s="41">
        <f t="shared" si="61"/>
        <v>3540.3149953570846</v>
      </c>
      <c r="J91" s="47">
        <f t="shared" si="61"/>
        <v>0</v>
      </c>
      <c r="K91" s="47">
        <f t="shared" si="61"/>
        <v>0</v>
      </c>
      <c r="L91" s="92">
        <f t="shared" si="79"/>
        <v>3540.3149953570846</v>
      </c>
      <c r="M91" s="91">
        <f>IF($A91=O$20,'Construction Costs_2022'!$K$43+'Construction Costs_2022'!$K$7,0)</f>
        <v>0</v>
      </c>
      <c r="N91" s="38">
        <f t="shared" si="80"/>
        <v>43200</v>
      </c>
      <c r="O91" s="38"/>
      <c r="P91" s="45"/>
      <c r="Q91" s="46">
        <f t="shared" si="62"/>
        <v>43200</v>
      </c>
      <c r="R91" s="41">
        <f t="shared" si="58"/>
        <v>0</v>
      </c>
      <c r="S91" s="41">
        <f t="shared" si="47"/>
        <v>5310.4724930356269</v>
      </c>
      <c r="T91" s="47">
        <f t="shared" si="48"/>
        <v>0</v>
      </c>
      <c r="U91" s="47">
        <f t="shared" si="63"/>
        <v>0</v>
      </c>
      <c r="V91" s="92">
        <f t="shared" si="81"/>
        <v>5310.4724930356269</v>
      </c>
      <c r="W91" s="82">
        <f>IF($A91=Y$20,'Construction Costs_2022'!$K$64+'Construction Costs_2022'!$K$7,0)</f>
        <v>0</v>
      </c>
      <c r="X91" s="38">
        <f t="shared" si="82"/>
        <v>0</v>
      </c>
      <c r="Y91" s="38"/>
      <c r="Z91" s="45"/>
      <c r="AA91" s="46">
        <f t="shared" si="64"/>
        <v>0</v>
      </c>
      <c r="AB91" s="41">
        <f t="shared" si="59"/>
        <v>0</v>
      </c>
      <c r="AC91" s="41">
        <f t="shared" si="59"/>
        <v>0</v>
      </c>
      <c r="AD91" s="47">
        <f t="shared" si="59"/>
        <v>0</v>
      </c>
      <c r="AE91" s="47">
        <f t="shared" si="65"/>
        <v>0</v>
      </c>
      <c r="AF91" s="92">
        <f t="shared" si="83"/>
        <v>0</v>
      </c>
      <c r="AG91" s="82">
        <f>IF($A91=AI$20,'Construction Costs_2022'!$K$84+'Construction Costs_2022'!$K$7,0)</f>
        <v>0</v>
      </c>
      <c r="AH91" s="38">
        <f t="shared" si="84"/>
        <v>0</v>
      </c>
      <c r="AI91" s="38"/>
      <c r="AJ91" s="45"/>
      <c r="AK91" s="46">
        <f t="shared" si="56"/>
        <v>0</v>
      </c>
      <c r="AL91" s="41">
        <f t="shared" si="66"/>
        <v>0</v>
      </c>
      <c r="AM91" s="41">
        <f t="shared" si="67"/>
        <v>0</v>
      </c>
      <c r="AN91" s="47">
        <f t="shared" si="68"/>
        <v>0</v>
      </c>
      <c r="AO91" s="47">
        <f t="shared" si="69"/>
        <v>0</v>
      </c>
      <c r="AP91" s="92">
        <f t="shared" si="85"/>
        <v>0</v>
      </c>
      <c r="AQ91" s="82">
        <f>IF($A91=AS$20,'Construction Costs_2022'!$K$104+'Construction Costs_2022'!$K$7,0)</f>
        <v>0</v>
      </c>
      <c r="AR91" s="38">
        <f t="shared" si="86"/>
        <v>0</v>
      </c>
      <c r="AS91" s="38"/>
      <c r="AT91" s="45"/>
      <c r="AU91" s="46">
        <f t="shared" si="57"/>
        <v>0</v>
      </c>
      <c r="AV91" s="41">
        <f t="shared" si="70"/>
        <v>0</v>
      </c>
      <c r="AW91" s="41">
        <f t="shared" si="71"/>
        <v>0</v>
      </c>
      <c r="AX91" s="47">
        <f t="shared" si="72"/>
        <v>0</v>
      </c>
      <c r="AY91" s="47">
        <f t="shared" si="73"/>
        <v>0</v>
      </c>
      <c r="AZ91" s="92">
        <f t="shared" si="87"/>
        <v>0</v>
      </c>
      <c r="BA91" s="82">
        <f>IF($A91=BC$20,'Construction Costs_2022'!$K$104+'Construction Costs_2022'!$K$7,0)</f>
        <v>0</v>
      </c>
      <c r="BB91" s="38">
        <f t="shared" si="88"/>
        <v>0</v>
      </c>
      <c r="BC91" s="38"/>
      <c r="BD91" s="45"/>
      <c r="BE91" s="46">
        <f t="shared" si="45"/>
        <v>0</v>
      </c>
      <c r="BF91" s="41">
        <f t="shared" si="74"/>
        <v>0</v>
      </c>
      <c r="BG91" s="41">
        <f t="shared" si="75"/>
        <v>0</v>
      </c>
      <c r="BH91" s="47">
        <f t="shared" si="76"/>
        <v>0</v>
      </c>
      <c r="BI91" s="47">
        <f t="shared" si="77"/>
        <v>0</v>
      </c>
      <c r="BJ91" s="92">
        <f t="shared" si="89"/>
        <v>0</v>
      </c>
    </row>
    <row r="92" spans="1:62" s="3" customFormat="1" ht="12.75" x14ac:dyDescent="0.2">
      <c r="A92" s="12">
        <f t="shared" si="78"/>
        <v>67</v>
      </c>
      <c r="B92" s="13">
        <f t="shared" si="51"/>
        <v>0.11934718835481002</v>
      </c>
      <c r="C92" s="82">
        <f>IF($A92=E$20,'Construction Costs_2022'!$K$22+'Construction Costs_2022'!$K$7,0)</f>
        <v>0</v>
      </c>
      <c r="D92" s="38">
        <f t="shared" ref="D92:D124" si="90">IF(C92&gt;0,0,SUM(IF(AND(MOD(($A92-E$20),E$13)=0,$A92&gt;=E$20),F$13,0)+IF(AND(MOD(($A92-E$20),E$14)=0,$A92&gt;=E$20),F$14,0)+IF(AND(MOD(($A92-E$20),E$15)=0,$A92&gt;=E$20),F$15,0)+IF(AND(MOD(($A92-E$20),E$16)=0,$A92&gt;=E$20),F$16,0)+IF(AND(MOD(($A92-E$20),E$17)=0,$A92&gt;=E$20),F$17,0)+IF(AND(MOD(($A92-E$20),E$18)=0,$A92&gt;=E$20),F$18,0)+IF(AND(MOD(($A92-E$20),E$19)=0,$A92&gt;=E$20),F$19,0)))</f>
        <v>28800</v>
      </c>
      <c r="E92" s="38"/>
      <c r="F92" s="45"/>
      <c r="G92" s="46">
        <f t="shared" si="60"/>
        <v>28800</v>
      </c>
      <c r="H92" s="41">
        <f t="shared" si="61"/>
        <v>0</v>
      </c>
      <c r="I92" s="41">
        <f t="shared" si="61"/>
        <v>3437.1990246185287</v>
      </c>
      <c r="J92" s="47">
        <f t="shared" si="61"/>
        <v>0</v>
      </c>
      <c r="K92" s="47">
        <f t="shared" si="61"/>
        <v>0</v>
      </c>
      <c r="L92" s="92">
        <f t="shared" si="79"/>
        <v>3437.1990246185287</v>
      </c>
      <c r="M92" s="91">
        <f>IF($A92=O$20,'Construction Costs_2022'!$K$43+'Construction Costs_2022'!$K$7,0)</f>
        <v>0</v>
      </c>
      <c r="N92" s="38">
        <f t="shared" si="80"/>
        <v>43200</v>
      </c>
      <c r="O92" s="38"/>
      <c r="P92" s="45"/>
      <c r="Q92" s="46">
        <f t="shared" si="62"/>
        <v>43200</v>
      </c>
      <c r="R92" s="41">
        <f t="shared" si="58"/>
        <v>0</v>
      </c>
      <c r="S92" s="41">
        <f t="shared" si="47"/>
        <v>5155.7985369277931</v>
      </c>
      <c r="T92" s="47">
        <f t="shared" si="48"/>
        <v>0</v>
      </c>
      <c r="U92" s="47">
        <f t="shared" si="63"/>
        <v>0</v>
      </c>
      <c r="V92" s="92">
        <f t="shared" si="81"/>
        <v>5155.7985369277931</v>
      </c>
      <c r="W92" s="82">
        <f>IF($A92=Y$20,'Construction Costs_2022'!$K$64+'Construction Costs_2022'!$K$7,0)</f>
        <v>0</v>
      </c>
      <c r="X92" s="38">
        <f t="shared" si="82"/>
        <v>86400</v>
      </c>
      <c r="Y92" s="38"/>
      <c r="Z92" s="45"/>
      <c r="AA92" s="46">
        <f t="shared" si="64"/>
        <v>86400</v>
      </c>
      <c r="AB92" s="41">
        <f t="shared" si="59"/>
        <v>0</v>
      </c>
      <c r="AC92" s="41">
        <f t="shared" si="59"/>
        <v>10311.597073855586</v>
      </c>
      <c r="AD92" s="47">
        <f t="shared" si="59"/>
        <v>0</v>
      </c>
      <c r="AE92" s="47">
        <f t="shared" si="65"/>
        <v>0</v>
      </c>
      <c r="AF92" s="92">
        <f t="shared" si="83"/>
        <v>10311.597073855586</v>
      </c>
      <c r="AG92" s="82">
        <f>IF($A92=AI$20,'Construction Costs_2022'!$K$84+'Construction Costs_2022'!$K$7,0)</f>
        <v>0</v>
      </c>
      <c r="AH92" s="38">
        <f t="shared" si="84"/>
        <v>100800</v>
      </c>
      <c r="AI92" s="38"/>
      <c r="AJ92" s="45"/>
      <c r="AK92" s="46">
        <f t="shared" si="56"/>
        <v>100800</v>
      </c>
      <c r="AL92" s="41">
        <f t="shared" si="66"/>
        <v>0</v>
      </c>
      <c r="AM92" s="41">
        <f t="shared" si="67"/>
        <v>12030.19658616485</v>
      </c>
      <c r="AN92" s="47">
        <f t="shared" si="68"/>
        <v>0</v>
      </c>
      <c r="AO92" s="47">
        <f t="shared" si="69"/>
        <v>0</v>
      </c>
      <c r="AP92" s="92">
        <f t="shared" si="85"/>
        <v>12030.19658616485</v>
      </c>
      <c r="AQ92" s="82">
        <f>IF($A92=AS$20,'Construction Costs_2022'!$K$104+'Construction Costs_2022'!$K$7,0)</f>
        <v>0</v>
      </c>
      <c r="AR92" s="38">
        <f t="shared" si="86"/>
        <v>57600</v>
      </c>
      <c r="AS92" s="38"/>
      <c r="AT92" s="45"/>
      <c r="AU92" s="46">
        <f t="shared" si="57"/>
        <v>57600</v>
      </c>
      <c r="AV92" s="41">
        <f t="shared" si="70"/>
        <v>0</v>
      </c>
      <c r="AW92" s="41">
        <f t="shared" si="71"/>
        <v>6874.3980492370574</v>
      </c>
      <c r="AX92" s="47">
        <f t="shared" si="72"/>
        <v>0</v>
      </c>
      <c r="AY92" s="47">
        <f t="shared" si="73"/>
        <v>0</v>
      </c>
      <c r="AZ92" s="92">
        <f t="shared" si="87"/>
        <v>6874.3980492370574</v>
      </c>
      <c r="BA92" s="82">
        <f>IF($A92=BC$20,'Construction Costs_2022'!$K$104+'Construction Costs_2022'!$K$7,0)</f>
        <v>0</v>
      </c>
      <c r="BB92" s="38">
        <f t="shared" si="88"/>
        <v>86400</v>
      </c>
      <c r="BC92" s="38"/>
      <c r="BD92" s="45"/>
      <c r="BE92" s="46">
        <f t="shared" ref="BE92:BE124" si="91">SUM(BA92:BD92)</f>
        <v>86400</v>
      </c>
      <c r="BF92" s="41">
        <f t="shared" si="74"/>
        <v>0</v>
      </c>
      <c r="BG92" s="41">
        <f t="shared" si="75"/>
        <v>10311.597073855586</v>
      </c>
      <c r="BH92" s="47">
        <f t="shared" si="76"/>
        <v>0</v>
      </c>
      <c r="BI92" s="47">
        <f t="shared" si="77"/>
        <v>0</v>
      </c>
      <c r="BJ92" s="92">
        <f t="shared" si="89"/>
        <v>10311.597073855586</v>
      </c>
    </row>
    <row r="93" spans="1:62" s="3" customFormat="1" ht="12.75" x14ac:dyDescent="0.2">
      <c r="A93" s="12">
        <f t="shared" si="78"/>
        <v>68</v>
      </c>
      <c r="B93" s="13">
        <f t="shared" si="51"/>
        <v>0.11587105665515536</v>
      </c>
      <c r="C93" s="82">
        <f>IF($A93=E$20,'Construction Costs_2022'!$K$22+'Construction Costs_2022'!$K$7,0)</f>
        <v>0</v>
      </c>
      <c r="D93" s="38">
        <f t="shared" si="90"/>
        <v>28800</v>
      </c>
      <c r="E93" s="38"/>
      <c r="F93" s="45"/>
      <c r="G93" s="46">
        <f t="shared" si="60"/>
        <v>28800</v>
      </c>
      <c r="H93" s="41">
        <f t="shared" si="61"/>
        <v>0</v>
      </c>
      <c r="I93" s="41">
        <f t="shared" si="61"/>
        <v>3337.0864316684742</v>
      </c>
      <c r="J93" s="47">
        <f t="shared" si="61"/>
        <v>0</v>
      </c>
      <c r="K93" s="47">
        <f t="shared" si="61"/>
        <v>0</v>
      </c>
      <c r="L93" s="92">
        <f t="shared" si="79"/>
        <v>3337.0864316684742</v>
      </c>
      <c r="M93" s="91">
        <f>IF($A93=O$20,'Construction Costs_2022'!$K$43+'Construction Costs_2022'!$K$7,0)</f>
        <v>0</v>
      </c>
      <c r="N93" s="38">
        <f t="shared" si="80"/>
        <v>43200</v>
      </c>
      <c r="O93" s="38"/>
      <c r="P93" s="45"/>
      <c r="Q93" s="46">
        <f t="shared" si="62"/>
        <v>43200</v>
      </c>
      <c r="R93" s="41">
        <f t="shared" si="58"/>
        <v>0</v>
      </c>
      <c r="S93" s="41">
        <f t="shared" si="47"/>
        <v>5005.6296475027111</v>
      </c>
      <c r="T93" s="47">
        <f t="shared" si="48"/>
        <v>0</v>
      </c>
      <c r="U93" s="47">
        <f t="shared" si="63"/>
        <v>0</v>
      </c>
      <c r="V93" s="92">
        <f t="shared" si="81"/>
        <v>5005.6296475027111</v>
      </c>
      <c r="W93" s="82">
        <f>IF($A93=Y$20,'Construction Costs_2022'!$K$64+'Construction Costs_2022'!$K$7,0)</f>
        <v>0</v>
      </c>
      <c r="X93" s="38">
        <f t="shared" si="82"/>
        <v>0</v>
      </c>
      <c r="Y93" s="38"/>
      <c r="Z93" s="45"/>
      <c r="AA93" s="46">
        <f t="shared" si="64"/>
        <v>0</v>
      </c>
      <c r="AB93" s="41">
        <f t="shared" si="59"/>
        <v>0</v>
      </c>
      <c r="AC93" s="41">
        <f t="shared" si="59"/>
        <v>0</v>
      </c>
      <c r="AD93" s="47">
        <f t="shared" si="59"/>
        <v>0</v>
      </c>
      <c r="AE93" s="47">
        <f t="shared" si="65"/>
        <v>0</v>
      </c>
      <c r="AF93" s="92">
        <f t="shared" si="83"/>
        <v>0</v>
      </c>
      <c r="AG93" s="82">
        <f>IF($A93=AI$20,'Construction Costs_2022'!$K$84+'Construction Costs_2022'!$K$7,0)</f>
        <v>0</v>
      </c>
      <c r="AH93" s="38">
        <f t="shared" si="84"/>
        <v>0</v>
      </c>
      <c r="AI93" s="38"/>
      <c r="AJ93" s="45"/>
      <c r="AK93" s="46">
        <f t="shared" si="56"/>
        <v>0</v>
      </c>
      <c r="AL93" s="41">
        <f t="shared" si="66"/>
        <v>0</v>
      </c>
      <c r="AM93" s="41">
        <f t="shared" si="67"/>
        <v>0</v>
      </c>
      <c r="AN93" s="47">
        <f t="shared" si="68"/>
        <v>0</v>
      </c>
      <c r="AO93" s="47">
        <f t="shared" si="69"/>
        <v>0</v>
      </c>
      <c r="AP93" s="92">
        <f t="shared" si="85"/>
        <v>0</v>
      </c>
      <c r="AQ93" s="82">
        <f>IF($A93=AS$20,'Construction Costs_2022'!$K$104+'Construction Costs_2022'!$K$7,0)</f>
        <v>0</v>
      </c>
      <c r="AR93" s="38">
        <f t="shared" si="86"/>
        <v>0</v>
      </c>
      <c r="AS93" s="38"/>
      <c r="AT93" s="45"/>
      <c r="AU93" s="46">
        <f t="shared" si="57"/>
        <v>0</v>
      </c>
      <c r="AV93" s="41">
        <f t="shared" si="70"/>
        <v>0</v>
      </c>
      <c r="AW93" s="41">
        <f t="shared" si="71"/>
        <v>0</v>
      </c>
      <c r="AX93" s="47">
        <f t="shared" si="72"/>
        <v>0</v>
      </c>
      <c r="AY93" s="47">
        <f t="shared" si="73"/>
        <v>0</v>
      </c>
      <c r="AZ93" s="92">
        <f t="shared" si="87"/>
        <v>0</v>
      </c>
      <c r="BA93" s="82">
        <f>IF($A93=BC$20,'Construction Costs_2022'!$K$104+'Construction Costs_2022'!$K$7,0)</f>
        <v>0</v>
      </c>
      <c r="BB93" s="38">
        <f t="shared" si="88"/>
        <v>0</v>
      </c>
      <c r="BC93" s="38"/>
      <c r="BD93" s="45"/>
      <c r="BE93" s="46">
        <f t="shared" si="91"/>
        <v>0</v>
      </c>
      <c r="BF93" s="41">
        <f t="shared" si="74"/>
        <v>0</v>
      </c>
      <c r="BG93" s="41">
        <f t="shared" si="75"/>
        <v>0</v>
      </c>
      <c r="BH93" s="47">
        <f t="shared" si="76"/>
        <v>0</v>
      </c>
      <c r="BI93" s="47">
        <f t="shared" si="77"/>
        <v>0</v>
      </c>
      <c r="BJ93" s="92">
        <f t="shared" si="89"/>
        <v>0</v>
      </c>
    </row>
    <row r="94" spans="1:62" s="3" customFormat="1" ht="12.75" x14ac:dyDescent="0.2">
      <c r="A94" s="12">
        <f t="shared" si="78"/>
        <v>69</v>
      </c>
      <c r="B94" s="13">
        <f t="shared" si="51"/>
        <v>0.11249617150985958</v>
      </c>
      <c r="C94" s="82">
        <f>IF($A94=E$20,'Construction Costs_2022'!$K$22+'Construction Costs_2022'!$K$7,0)</f>
        <v>0</v>
      </c>
      <c r="D94" s="38">
        <f t="shared" si="90"/>
        <v>28800</v>
      </c>
      <c r="E94" s="38"/>
      <c r="F94" s="45"/>
      <c r="G94" s="46">
        <f t="shared" si="60"/>
        <v>28800</v>
      </c>
      <c r="H94" s="41">
        <f t="shared" si="61"/>
        <v>0</v>
      </c>
      <c r="I94" s="41">
        <f t="shared" si="61"/>
        <v>3239.889739483956</v>
      </c>
      <c r="J94" s="47">
        <f t="shared" si="61"/>
        <v>0</v>
      </c>
      <c r="K94" s="47">
        <f t="shared" si="61"/>
        <v>0</v>
      </c>
      <c r="L94" s="92">
        <f t="shared" si="79"/>
        <v>3239.889739483956</v>
      </c>
      <c r="M94" s="91">
        <f>IF($A94=O$20,'Construction Costs_2022'!$K$43+'Construction Costs_2022'!$K$7,0)</f>
        <v>0</v>
      </c>
      <c r="N94" s="38">
        <f t="shared" si="80"/>
        <v>43200</v>
      </c>
      <c r="O94" s="38"/>
      <c r="P94" s="45"/>
      <c r="Q94" s="46">
        <f t="shared" si="62"/>
        <v>43200</v>
      </c>
      <c r="R94" s="41">
        <f t="shared" si="58"/>
        <v>0</v>
      </c>
      <c r="S94" s="41">
        <f t="shared" si="47"/>
        <v>4859.8346092259335</v>
      </c>
      <c r="T94" s="47">
        <f t="shared" si="48"/>
        <v>0</v>
      </c>
      <c r="U94" s="47">
        <f t="shared" si="63"/>
        <v>0</v>
      </c>
      <c r="V94" s="92">
        <f t="shared" si="81"/>
        <v>4859.8346092259335</v>
      </c>
      <c r="W94" s="82">
        <f>IF($A94=Y$20,'Construction Costs_2022'!$K$64+'Construction Costs_2022'!$K$7,0)</f>
        <v>0</v>
      </c>
      <c r="X94" s="38">
        <f t="shared" si="82"/>
        <v>0</v>
      </c>
      <c r="Y94" s="38"/>
      <c r="Z94" s="45"/>
      <c r="AA94" s="46">
        <f t="shared" si="64"/>
        <v>0</v>
      </c>
      <c r="AB94" s="41">
        <f t="shared" si="59"/>
        <v>0</v>
      </c>
      <c r="AC94" s="41">
        <f t="shared" si="59"/>
        <v>0</v>
      </c>
      <c r="AD94" s="47">
        <f t="shared" si="59"/>
        <v>0</v>
      </c>
      <c r="AE94" s="47">
        <f t="shared" si="65"/>
        <v>0</v>
      </c>
      <c r="AF94" s="92">
        <f t="shared" si="83"/>
        <v>0</v>
      </c>
      <c r="AG94" s="82">
        <f>IF($A94=AI$20,'Construction Costs_2022'!$K$84+'Construction Costs_2022'!$K$7,0)</f>
        <v>0</v>
      </c>
      <c r="AH94" s="38">
        <f t="shared" si="84"/>
        <v>0</v>
      </c>
      <c r="AI94" s="38"/>
      <c r="AJ94" s="45"/>
      <c r="AK94" s="46">
        <f t="shared" si="56"/>
        <v>0</v>
      </c>
      <c r="AL94" s="41">
        <f t="shared" si="66"/>
        <v>0</v>
      </c>
      <c r="AM94" s="41">
        <f t="shared" si="67"/>
        <v>0</v>
      </c>
      <c r="AN94" s="47">
        <f t="shared" si="68"/>
        <v>0</v>
      </c>
      <c r="AO94" s="47">
        <f t="shared" si="69"/>
        <v>0</v>
      </c>
      <c r="AP94" s="92">
        <f t="shared" si="85"/>
        <v>0</v>
      </c>
      <c r="AQ94" s="82">
        <f>IF($A94=AS$20,'Construction Costs_2022'!$K$104+'Construction Costs_2022'!$K$7,0)</f>
        <v>0</v>
      </c>
      <c r="AR94" s="38">
        <f t="shared" si="86"/>
        <v>0</v>
      </c>
      <c r="AS94" s="38"/>
      <c r="AT94" s="45"/>
      <c r="AU94" s="46">
        <f t="shared" si="57"/>
        <v>0</v>
      </c>
      <c r="AV94" s="41">
        <f t="shared" si="70"/>
        <v>0</v>
      </c>
      <c r="AW94" s="41">
        <f t="shared" si="71"/>
        <v>0</v>
      </c>
      <c r="AX94" s="47">
        <f t="shared" si="72"/>
        <v>0</v>
      </c>
      <c r="AY94" s="47">
        <f t="shared" si="73"/>
        <v>0</v>
      </c>
      <c r="AZ94" s="92">
        <f t="shared" si="87"/>
        <v>0</v>
      </c>
      <c r="BA94" s="82">
        <f>IF($A94=BC$20,'Construction Costs_2022'!$K$104+'Construction Costs_2022'!$K$7,0)</f>
        <v>0</v>
      </c>
      <c r="BB94" s="38">
        <f t="shared" si="88"/>
        <v>0</v>
      </c>
      <c r="BC94" s="38"/>
      <c r="BD94" s="45"/>
      <c r="BE94" s="46">
        <f t="shared" si="91"/>
        <v>0</v>
      </c>
      <c r="BF94" s="41">
        <f t="shared" si="74"/>
        <v>0</v>
      </c>
      <c r="BG94" s="41">
        <f t="shared" si="75"/>
        <v>0</v>
      </c>
      <c r="BH94" s="47">
        <f t="shared" si="76"/>
        <v>0</v>
      </c>
      <c r="BI94" s="47">
        <f t="shared" si="77"/>
        <v>0</v>
      </c>
      <c r="BJ94" s="92">
        <f t="shared" si="89"/>
        <v>0</v>
      </c>
    </row>
    <row r="95" spans="1:62" s="3" customFormat="1" ht="12.75" x14ac:dyDescent="0.2">
      <c r="A95" s="12">
        <f t="shared" si="78"/>
        <v>70</v>
      </c>
      <c r="B95" s="13">
        <f t="shared" si="51"/>
        <v>0.10921958399015493</v>
      </c>
      <c r="C95" s="82">
        <f>IF($A95=E$20,'Construction Costs_2022'!$K$22+'Construction Costs_2022'!$K$7,0)</f>
        <v>0</v>
      </c>
      <c r="D95" s="38">
        <f t="shared" si="90"/>
        <v>28800</v>
      </c>
      <c r="E95" s="38"/>
      <c r="F95" s="45"/>
      <c r="G95" s="46">
        <f t="shared" si="60"/>
        <v>28800</v>
      </c>
      <c r="H95" s="41">
        <f t="shared" si="61"/>
        <v>0</v>
      </c>
      <c r="I95" s="41">
        <f t="shared" si="61"/>
        <v>3145.524018916462</v>
      </c>
      <c r="J95" s="47">
        <f t="shared" si="61"/>
        <v>0</v>
      </c>
      <c r="K95" s="47">
        <f t="shared" si="61"/>
        <v>0</v>
      </c>
      <c r="L95" s="92">
        <f t="shared" si="79"/>
        <v>3145.524018916462</v>
      </c>
      <c r="M95" s="91">
        <f>IF($A95=O$20,'Construction Costs_2022'!$K$43+'Construction Costs_2022'!$K$7,0)</f>
        <v>0</v>
      </c>
      <c r="N95" s="38">
        <f t="shared" si="80"/>
        <v>43200</v>
      </c>
      <c r="O95" s="38"/>
      <c r="P95" s="45"/>
      <c r="Q95" s="46">
        <f t="shared" si="62"/>
        <v>43200</v>
      </c>
      <c r="R95" s="41">
        <f t="shared" si="58"/>
        <v>0</v>
      </c>
      <c r="S95" s="41">
        <f t="shared" ref="S95:S124" si="92">N95*$B95</f>
        <v>4718.2860283746932</v>
      </c>
      <c r="T95" s="47">
        <f t="shared" si="48"/>
        <v>0</v>
      </c>
      <c r="U95" s="47">
        <f t="shared" si="63"/>
        <v>0</v>
      </c>
      <c r="V95" s="92">
        <f t="shared" si="81"/>
        <v>4718.2860283746932</v>
      </c>
      <c r="W95" s="82">
        <f>IF($A95=Y$20,'Construction Costs_2022'!$K$64+'Construction Costs_2022'!$K$7,0)</f>
        <v>0</v>
      </c>
      <c r="X95" s="38">
        <f t="shared" si="82"/>
        <v>0</v>
      </c>
      <c r="Y95" s="38"/>
      <c r="Z95" s="45"/>
      <c r="AA95" s="46">
        <f t="shared" si="64"/>
        <v>0</v>
      </c>
      <c r="AB95" s="41">
        <f t="shared" si="59"/>
        <v>0</v>
      </c>
      <c r="AC95" s="41">
        <f t="shared" si="59"/>
        <v>0</v>
      </c>
      <c r="AD95" s="47">
        <f t="shared" si="59"/>
        <v>0</v>
      </c>
      <c r="AE95" s="47">
        <f t="shared" si="65"/>
        <v>0</v>
      </c>
      <c r="AF95" s="92">
        <f t="shared" si="83"/>
        <v>0</v>
      </c>
      <c r="AG95" s="82">
        <f>IF($A95=AI$20,'Construction Costs_2022'!$K$84+'Construction Costs_2022'!$K$7,0)</f>
        <v>0</v>
      </c>
      <c r="AH95" s="38">
        <f t="shared" si="84"/>
        <v>0</v>
      </c>
      <c r="AI95" s="38"/>
      <c r="AJ95" s="45"/>
      <c r="AK95" s="46">
        <f t="shared" si="56"/>
        <v>0</v>
      </c>
      <c r="AL95" s="41">
        <f t="shared" si="66"/>
        <v>0</v>
      </c>
      <c r="AM95" s="41">
        <f t="shared" si="67"/>
        <v>0</v>
      </c>
      <c r="AN95" s="47">
        <f t="shared" si="68"/>
        <v>0</v>
      </c>
      <c r="AO95" s="47">
        <f t="shared" si="69"/>
        <v>0</v>
      </c>
      <c r="AP95" s="92">
        <f t="shared" si="85"/>
        <v>0</v>
      </c>
      <c r="AQ95" s="82">
        <f>IF($A95=AS$20,'Construction Costs_2022'!$K$104+'Construction Costs_2022'!$K$7,0)</f>
        <v>0</v>
      </c>
      <c r="AR95" s="38">
        <f t="shared" si="86"/>
        <v>0</v>
      </c>
      <c r="AS95" s="38"/>
      <c r="AT95" s="45"/>
      <c r="AU95" s="46">
        <f t="shared" si="57"/>
        <v>0</v>
      </c>
      <c r="AV95" s="41">
        <f t="shared" si="70"/>
        <v>0</v>
      </c>
      <c r="AW95" s="41">
        <f t="shared" si="71"/>
        <v>0</v>
      </c>
      <c r="AX95" s="47">
        <f t="shared" si="72"/>
        <v>0</v>
      </c>
      <c r="AY95" s="47">
        <f t="shared" si="73"/>
        <v>0</v>
      </c>
      <c r="AZ95" s="92">
        <f t="shared" si="87"/>
        <v>0</v>
      </c>
      <c r="BA95" s="82">
        <f>IF($A95=BC$20,'Construction Costs_2022'!$K$104+'Construction Costs_2022'!$K$7,0)</f>
        <v>0</v>
      </c>
      <c r="BB95" s="38">
        <f t="shared" si="88"/>
        <v>0</v>
      </c>
      <c r="BC95" s="38"/>
      <c r="BD95" s="45"/>
      <c r="BE95" s="46">
        <f t="shared" si="91"/>
        <v>0</v>
      </c>
      <c r="BF95" s="41">
        <f t="shared" si="74"/>
        <v>0</v>
      </c>
      <c r="BG95" s="41">
        <f t="shared" si="75"/>
        <v>0</v>
      </c>
      <c r="BH95" s="47">
        <f t="shared" si="76"/>
        <v>0</v>
      </c>
      <c r="BI95" s="47">
        <f t="shared" si="77"/>
        <v>0</v>
      </c>
      <c r="BJ95" s="92">
        <f t="shared" si="89"/>
        <v>0</v>
      </c>
    </row>
    <row r="96" spans="1:62" s="3" customFormat="1" ht="12.75" x14ac:dyDescent="0.2">
      <c r="A96" s="12">
        <f t="shared" si="78"/>
        <v>71</v>
      </c>
      <c r="B96" s="13">
        <f t="shared" si="51"/>
        <v>0.10603843105840284</v>
      </c>
      <c r="C96" s="82">
        <f>IF($A96=E$20,'Construction Costs_2022'!$K$22+'Construction Costs_2022'!$K$7,0)</f>
        <v>0</v>
      </c>
      <c r="D96" s="38">
        <f t="shared" si="90"/>
        <v>28800</v>
      </c>
      <c r="E96" s="38"/>
      <c r="F96" s="45"/>
      <c r="G96" s="46">
        <f t="shared" si="60"/>
        <v>28800</v>
      </c>
      <c r="H96" s="41">
        <f t="shared" si="61"/>
        <v>0</v>
      </c>
      <c r="I96" s="41">
        <f t="shared" si="61"/>
        <v>3053.9068144820017</v>
      </c>
      <c r="J96" s="47">
        <f t="shared" si="61"/>
        <v>0</v>
      </c>
      <c r="K96" s="47">
        <f t="shared" si="61"/>
        <v>0</v>
      </c>
      <c r="L96" s="92">
        <f t="shared" si="79"/>
        <v>3053.9068144820017</v>
      </c>
      <c r="M96" s="91">
        <f>IF($A96=O$20,'Construction Costs_2022'!$K$43+'Construction Costs_2022'!$K$7,0)</f>
        <v>0</v>
      </c>
      <c r="N96" s="38">
        <f t="shared" si="80"/>
        <v>43200</v>
      </c>
      <c r="O96" s="38"/>
      <c r="P96" s="45"/>
      <c r="Q96" s="46">
        <f t="shared" si="62"/>
        <v>43200</v>
      </c>
      <c r="R96" s="41">
        <f t="shared" si="58"/>
        <v>0</v>
      </c>
      <c r="S96" s="41">
        <f t="shared" si="92"/>
        <v>4580.8602217230027</v>
      </c>
      <c r="T96" s="47">
        <f t="shared" si="48"/>
        <v>0</v>
      </c>
      <c r="U96" s="47">
        <f t="shared" si="63"/>
        <v>0</v>
      </c>
      <c r="V96" s="92">
        <f t="shared" si="81"/>
        <v>4580.8602217230027</v>
      </c>
      <c r="W96" s="82">
        <f>IF($A96=Y$20,'Construction Costs_2022'!$K$64+'Construction Costs_2022'!$K$7,0)</f>
        <v>0</v>
      </c>
      <c r="X96" s="38">
        <f t="shared" si="82"/>
        <v>0</v>
      </c>
      <c r="Y96" s="38"/>
      <c r="Z96" s="45"/>
      <c r="AA96" s="46">
        <f t="shared" si="64"/>
        <v>0</v>
      </c>
      <c r="AB96" s="41">
        <f t="shared" si="59"/>
        <v>0</v>
      </c>
      <c r="AC96" s="41">
        <f t="shared" si="59"/>
        <v>0</v>
      </c>
      <c r="AD96" s="47">
        <f t="shared" si="59"/>
        <v>0</v>
      </c>
      <c r="AE96" s="47">
        <f t="shared" si="65"/>
        <v>0</v>
      </c>
      <c r="AF96" s="92">
        <f t="shared" si="83"/>
        <v>0</v>
      </c>
      <c r="AG96" s="82">
        <f>IF($A96=AI$20,'Construction Costs_2022'!$K$84+'Construction Costs_2022'!$K$7,0)</f>
        <v>0</v>
      </c>
      <c r="AH96" s="38">
        <f t="shared" si="84"/>
        <v>0</v>
      </c>
      <c r="AI96" s="38"/>
      <c r="AJ96" s="45"/>
      <c r="AK96" s="46">
        <f t="shared" si="56"/>
        <v>0</v>
      </c>
      <c r="AL96" s="41">
        <f t="shared" si="66"/>
        <v>0</v>
      </c>
      <c r="AM96" s="41">
        <f t="shared" si="67"/>
        <v>0</v>
      </c>
      <c r="AN96" s="47">
        <f t="shared" si="68"/>
        <v>0</v>
      </c>
      <c r="AO96" s="47">
        <f t="shared" si="69"/>
        <v>0</v>
      </c>
      <c r="AP96" s="92">
        <f t="shared" si="85"/>
        <v>0</v>
      </c>
      <c r="AQ96" s="82">
        <f>IF($A96=AS$20,'Construction Costs_2022'!$K$104+'Construction Costs_2022'!$K$7,0)</f>
        <v>0</v>
      </c>
      <c r="AR96" s="38">
        <f t="shared" si="86"/>
        <v>0</v>
      </c>
      <c r="AS96" s="38"/>
      <c r="AT96" s="45"/>
      <c r="AU96" s="46">
        <f t="shared" si="57"/>
        <v>0</v>
      </c>
      <c r="AV96" s="41">
        <f t="shared" si="70"/>
        <v>0</v>
      </c>
      <c r="AW96" s="41">
        <f t="shared" si="71"/>
        <v>0</v>
      </c>
      <c r="AX96" s="47">
        <f t="shared" si="72"/>
        <v>0</v>
      </c>
      <c r="AY96" s="47">
        <f t="shared" si="73"/>
        <v>0</v>
      </c>
      <c r="AZ96" s="92">
        <f t="shared" si="87"/>
        <v>0</v>
      </c>
      <c r="BA96" s="82">
        <f>IF($A96=BC$20,'Construction Costs_2022'!$K$104+'Construction Costs_2022'!$K$7,0)</f>
        <v>0</v>
      </c>
      <c r="BB96" s="38">
        <f t="shared" si="88"/>
        <v>0</v>
      </c>
      <c r="BC96" s="38"/>
      <c r="BD96" s="45"/>
      <c r="BE96" s="46">
        <f t="shared" si="91"/>
        <v>0</v>
      </c>
      <c r="BF96" s="41">
        <f t="shared" si="74"/>
        <v>0</v>
      </c>
      <c r="BG96" s="41">
        <f t="shared" si="75"/>
        <v>0</v>
      </c>
      <c r="BH96" s="47">
        <f t="shared" si="76"/>
        <v>0</v>
      </c>
      <c r="BI96" s="47">
        <f t="shared" si="77"/>
        <v>0</v>
      </c>
      <c r="BJ96" s="92">
        <f t="shared" si="89"/>
        <v>0</v>
      </c>
    </row>
    <row r="97" spans="1:62" s="3" customFormat="1" ht="12.75" x14ac:dyDescent="0.2">
      <c r="A97" s="12">
        <f t="shared" si="78"/>
        <v>72</v>
      </c>
      <c r="B97" s="13">
        <f t="shared" si="51"/>
        <v>0.10294993306641052</v>
      </c>
      <c r="C97" s="82">
        <f>IF($A97=E$20,'Construction Costs_2022'!$K$22+'Construction Costs_2022'!$K$7,0)</f>
        <v>0</v>
      </c>
      <c r="D97" s="38">
        <f t="shared" si="90"/>
        <v>1301900</v>
      </c>
      <c r="E97" s="38"/>
      <c r="F97" s="45"/>
      <c r="G97" s="46">
        <f t="shared" si="60"/>
        <v>1301900</v>
      </c>
      <c r="H97" s="41">
        <f t="shared" si="61"/>
        <v>0</v>
      </c>
      <c r="I97" s="41">
        <f t="shared" si="61"/>
        <v>134030.51785915985</v>
      </c>
      <c r="J97" s="47">
        <f t="shared" si="61"/>
        <v>0</v>
      </c>
      <c r="K97" s="47">
        <f t="shared" si="61"/>
        <v>0</v>
      </c>
      <c r="L97" s="92">
        <f t="shared" si="79"/>
        <v>134030.51785915985</v>
      </c>
      <c r="M97" s="91">
        <f>IF($A97=O$20,'Construction Costs_2022'!$K$43+'Construction Costs_2022'!$K$7,0)</f>
        <v>0</v>
      </c>
      <c r="N97" s="38">
        <f t="shared" si="80"/>
        <v>1207840</v>
      </c>
      <c r="O97" s="38"/>
      <c r="P97" s="45"/>
      <c r="Q97" s="46">
        <f t="shared" si="62"/>
        <v>1207840</v>
      </c>
      <c r="R97" s="41">
        <f t="shared" si="58"/>
        <v>0</v>
      </c>
      <c r="S97" s="41">
        <f t="shared" si="92"/>
        <v>124347.04715493329</v>
      </c>
      <c r="T97" s="47">
        <f t="shared" si="48"/>
        <v>0</v>
      </c>
      <c r="U97" s="47">
        <f t="shared" si="63"/>
        <v>0</v>
      </c>
      <c r="V97" s="92">
        <f t="shared" si="81"/>
        <v>124347.04715493329</v>
      </c>
      <c r="W97" s="82">
        <f>IF($A97=Y$20,'Construction Costs_2022'!$K$64+'Construction Costs_2022'!$K$7,0)</f>
        <v>0</v>
      </c>
      <c r="X97" s="38">
        <f t="shared" si="82"/>
        <v>919280</v>
      </c>
      <c r="Y97" s="38"/>
      <c r="Z97" s="45"/>
      <c r="AA97" s="46">
        <f t="shared" si="64"/>
        <v>919280</v>
      </c>
      <c r="AB97" s="41">
        <f t="shared" si="59"/>
        <v>0</v>
      </c>
      <c r="AC97" s="41">
        <f t="shared" si="59"/>
        <v>94639.814469289864</v>
      </c>
      <c r="AD97" s="47">
        <f t="shared" si="59"/>
        <v>0</v>
      </c>
      <c r="AE97" s="47">
        <f t="shared" si="65"/>
        <v>0</v>
      </c>
      <c r="AF97" s="92">
        <f t="shared" si="83"/>
        <v>94639.814469289864</v>
      </c>
      <c r="AG97" s="82">
        <f>IF($A97=AI$20,'Construction Costs_2022'!$K$84+'Construction Costs_2022'!$K$7,0)</f>
        <v>0</v>
      </c>
      <c r="AH97" s="38">
        <f t="shared" si="84"/>
        <v>876260</v>
      </c>
      <c r="AI97" s="38"/>
      <c r="AJ97" s="45"/>
      <c r="AK97" s="46">
        <f t="shared" si="56"/>
        <v>876260</v>
      </c>
      <c r="AL97" s="41">
        <f t="shared" si="66"/>
        <v>0</v>
      </c>
      <c r="AM97" s="41">
        <f t="shared" si="67"/>
        <v>90210.908348772879</v>
      </c>
      <c r="AN97" s="47">
        <f t="shared" si="68"/>
        <v>0</v>
      </c>
      <c r="AO97" s="47">
        <f t="shared" si="69"/>
        <v>0</v>
      </c>
      <c r="AP97" s="92">
        <f t="shared" si="85"/>
        <v>90210.908348772879</v>
      </c>
      <c r="AQ97" s="82">
        <f>IF($A97=AS$20,'Construction Costs_2022'!$K$104+'Construction Costs_2022'!$K$7,0)</f>
        <v>0</v>
      </c>
      <c r="AR97" s="38">
        <f t="shared" si="86"/>
        <v>1005320</v>
      </c>
      <c r="AS97" s="38"/>
      <c r="AT97" s="45"/>
      <c r="AU97" s="46">
        <f t="shared" si="57"/>
        <v>1005320</v>
      </c>
      <c r="AV97" s="41">
        <f t="shared" si="70"/>
        <v>0</v>
      </c>
      <c r="AW97" s="41">
        <f t="shared" si="71"/>
        <v>103497.62671032382</v>
      </c>
      <c r="AX97" s="47">
        <f t="shared" si="72"/>
        <v>0</v>
      </c>
      <c r="AY97" s="47">
        <f t="shared" si="73"/>
        <v>0</v>
      </c>
      <c r="AZ97" s="92">
        <f t="shared" si="87"/>
        <v>103497.62671032382</v>
      </c>
      <c r="BA97" s="82">
        <f>IF($A97=BC$20,'Construction Costs_2022'!$K$104+'Construction Costs_2022'!$K$7,0)</f>
        <v>0</v>
      </c>
      <c r="BB97" s="38">
        <f t="shared" si="88"/>
        <v>201530</v>
      </c>
      <c r="BC97" s="38"/>
      <c r="BD97" s="45"/>
      <c r="BE97" s="46">
        <f t="shared" si="91"/>
        <v>201530</v>
      </c>
      <c r="BF97" s="41">
        <f t="shared" si="74"/>
        <v>0</v>
      </c>
      <c r="BG97" s="41">
        <f t="shared" si="75"/>
        <v>20747.500010873711</v>
      </c>
      <c r="BH97" s="47">
        <f t="shared" si="76"/>
        <v>0</v>
      </c>
      <c r="BI97" s="47">
        <f t="shared" si="77"/>
        <v>0</v>
      </c>
      <c r="BJ97" s="92">
        <f t="shared" si="89"/>
        <v>20747.500010873711</v>
      </c>
    </row>
    <row r="98" spans="1:62" s="3" customFormat="1" ht="12.75" x14ac:dyDescent="0.2">
      <c r="A98" s="12">
        <f t="shared" si="78"/>
        <v>73</v>
      </c>
      <c r="B98" s="13">
        <f t="shared" si="51"/>
        <v>9.9951391326612155E-2</v>
      </c>
      <c r="C98" s="82">
        <f>IF($A98=E$20,'Construction Costs_2022'!$K$22+'Construction Costs_2022'!$K$7,0)</f>
        <v>0</v>
      </c>
      <c r="D98" s="38">
        <f t="shared" si="90"/>
        <v>28800</v>
      </c>
      <c r="E98" s="38"/>
      <c r="F98" s="45"/>
      <c r="G98" s="46">
        <f t="shared" si="60"/>
        <v>28800</v>
      </c>
      <c r="H98" s="41">
        <f t="shared" si="61"/>
        <v>0</v>
      </c>
      <c r="I98" s="41">
        <f t="shared" si="61"/>
        <v>2878.6000702064302</v>
      </c>
      <c r="J98" s="47">
        <f t="shared" si="61"/>
        <v>0</v>
      </c>
      <c r="K98" s="47">
        <f t="shared" si="61"/>
        <v>0</v>
      </c>
      <c r="L98" s="92">
        <f t="shared" si="79"/>
        <v>2878.6000702064302</v>
      </c>
      <c r="M98" s="91">
        <f>IF($A98=O$20,'Construction Costs_2022'!$K$43+'Construction Costs_2022'!$K$7,0)</f>
        <v>0</v>
      </c>
      <c r="N98" s="38">
        <f t="shared" si="80"/>
        <v>43200</v>
      </c>
      <c r="O98" s="38"/>
      <c r="P98" s="45"/>
      <c r="Q98" s="46">
        <f t="shared" si="62"/>
        <v>43200</v>
      </c>
      <c r="R98" s="41">
        <f t="shared" si="58"/>
        <v>0</v>
      </c>
      <c r="S98" s="41">
        <f t="shared" si="92"/>
        <v>4317.9001053096454</v>
      </c>
      <c r="T98" s="47">
        <f t="shared" si="48"/>
        <v>0</v>
      </c>
      <c r="U98" s="47">
        <f t="shared" si="63"/>
        <v>0</v>
      </c>
      <c r="V98" s="92">
        <f t="shared" si="81"/>
        <v>4317.9001053096454</v>
      </c>
      <c r="W98" s="82">
        <f>IF($A98=Y$20,'Construction Costs_2022'!$K$64+'Construction Costs_2022'!$K$7,0)</f>
        <v>0</v>
      </c>
      <c r="X98" s="38">
        <f t="shared" si="82"/>
        <v>0</v>
      </c>
      <c r="Y98" s="38"/>
      <c r="Z98" s="45"/>
      <c r="AA98" s="46">
        <f t="shared" si="64"/>
        <v>0</v>
      </c>
      <c r="AB98" s="41">
        <f t="shared" si="59"/>
        <v>0</v>
      </c>
      <c r="AC98" s="41">
        <f t="shared" si="59"/>
        <v>0</v>
      </c>
      <c r="AD98" s="47">
        <f t="shared" si="59"/>
        <v>0</v>
      </c>
      <c r="AE98" s="47">
        <f t="shared" si="65"/>
        <v>0</v>
      </c>
      <c r="AF98" s="92">
        <f t="shared" si="83"/>
        <v>0</v>
      </c>
      <c r="AG98" s="82">
        <f>IF($A98=AI$20,'Construction Costs_2022'!$K$84+'Construction Costs_2022'!$K$7,0)</f>
        <v>0</v>
      </c>
      <c r="AH98" s="38">
        <f t="shared" si="84"/>
        <v>0</v>
      </c>
      <c r="AI98" s="38"/>
      <c r="AJ98" s="45"/>
      <c r="AK98" s="46">
        <f t="shared" si="56"/>
        <v>0</v>
      </c>
      <c r="AL98" s="41">
        <f t="shared" si="66"/>
        <v>0</v>
      </c>
      <c r="AM98" s="41">
        <f t="shared" si="67"/>
        <v>0</v>
      </c>
      <c r="AN98" s="47">
        <f t="shared" si="68"/>
        <v>0</v>
      </c>
      <c r="AO98" s="47">
        <f t="shared" si="69"/>
        <v>0</v>
      </c>
      <c r="AP98" s="92">
        <f t="shared" si="85"/>
        <v>0</v>
      </c>
      <c r="AQ98" s="82">
        <f>IF($A98=AS$20,'Construction Costs_2022'!$K$104+'Construction Costs_2022'!$K$7,0)</f>
        <v>0</v>
      </c>
      <c r="AR98" s="38">
        <f t="shared" si="86"/>
        <v>0</v>
      </c>
      <c r="AS98" s="38"/>
      <c r="AT98" s="45"/>
      <c r="AU98" s="46">
        <f t="shared" si="57"/>
        <v>0</v>
      </c>
      <c r="AV98" s="41">
        <f t="shared" si="70"/>
        <v>0</v>
      </c>
      <c r="AW98" s="41">
        <f t="shared" si="71"/>
        <v>0</v>
      </c>
      <c r="AX98" s="47">
        <f t="shared" si="72"/>
        <v>0</v>
      </c>
      <c r="AY98" s="47">
        <f t="shared" si="73"/>
        <v>0</v>
      </c>
      <c r="AZ98" s="92">
        <f t="shared" si="87"/>
        <v>0</v>
      </c>
      <c r="BA98" s="82">
        <f>IF($A98=BC$20,'Construction Costs_2022'!$K$104+'Construction Costs_2022'!$K$7,0)</f>
        <v>0</v>
      </c>
      <c r="BB98" s="38">
        <f t="shared" si="88"/>
        <v>0</v>
      </c>
      <c r="BC98" s="38"/>
      <c r="BD98" s="45"/>
      <c r="BE98" s="46">
        <f t="shared" si="91"/>
        <v>0</v>
      </c>
      <c r="BF98" s="41">
        <f t="shared" si="74"/>
        <v>0</v>
      </c>
      <c r="BG98" s="41">
        <f t="shared" si="75"/>
        <v>0</v>
      </c>
      <c r="BH98" s="47">
        <f t="shared" si="76"/>
        <v>0</v>
      </c>
      <c r="BI98" s="47">
        <f t="shared" si="77"/>
        <v>0</v>
      </c>
      <c r="BJ98" s="92">
        <f t="shared" si="89"/>
        <v>0</v>
      </c>
    </row>
    <row r="99" spans="1:62" s="3" customFormat="1" ht="12.75" x14ac:dyDescent="0.2">
      <c r="A99" s="12">
        <f t="shared" si="78"/>
        <v>74</v>
      </c>
      <c r="B99" s="13">
        <f t="shared" si="51"/>
        <v>9.7040185753992383E-2</v>
      </c>
      <c r="C99" s="82">
        <f>IF($A99=E$20,'Construction Costs_2022'!$K$22+'Construction Costs_2022'!$K$7,0)</f>
        <v>0</v>
      </c>
      <c r="D99" s="38">
        <f t="shared" si="90"/>
        <v>28800</v>
      </c>
      <c r="E99" s="38"/>
      <c r="F99" s="45"/>
      <c r="G99" s="46">
        <f t="shared" si="60"/>
        <v>28800</v>
      </c>
      <c r="H99" s="41">
        <f t="shared" si="61"/>
        <v>0</v>
      </c>
      <c r="I99" s="41">
        <f t="shared" si="61"/>
        <v>2794.7573497149806</v>
      </c>
      <c r="J99" s="47">
        <f t="shared" si="61"/>
        <v>0</v>
      </c>
      <c r="K99" s="47">
        <f t="shared" si="61"/>
        <v>0</v>
      </c>
      <c r="L99" s="92">
        <f t="shared" si="79"/>
        <v>2794.7573497149806</v>
      </c>
      <c r="M99" s="91">
        <f>IF($A99=O$20,'Construction Costs_2022'!$K$43+'Construction Costs_2022'!$K$7,0)</f>
        <v>0</v>
      </c>
      <c r="N99" s="38">
        <f t="shared" si="80"/>
        <v>43200</v>
      </c>
      <c r="O99" s="38"/>
      <c r="P99" s="45"/>
      <c r="Q99" s="46">
        <f t="shared" si="62"/>
        <v>43200</v>
      </c>
      <c r="R99" s="41">
        <f t="shared" si="58"/>
        <v>0</v>
      </c>
      <c r="S99" s="41">
        <f t="shared" si="92"/>
        <v>4192.1360245724709</v>
      </c>
      <c r="T99" s="47">
        <f t="shared" si="48"/>
        <v>0</v>
      </c>
      <c r="U99" s="47">
        <f t="shared" si="63"/>
        <v>0</v>
      </c>
      <c r="V99" s="92">
        <f t="shared" si="81"/>
        <v>4192.1360245724709</v>
      </c>
      <c r="W99" s="82">
        <f>IF($A99=Y$20,'Construction Costs_2022'!$K$64+'Construction Costs_2022'!$K$7,0)</f>
        <v>0</v>
      </c>
      <c r="X99" s="38">
        <f t="shared" si="82"/>
        <v>0</v>
      </c>
      <c r="Y99" s="38"/>
      <c r="Z99" s="45"/>
      <c r="AA99" s="46">
        <f t="shared" si="64"/>
        <v>0</v>
      </c>
      <c r="AB99" s="41">
        <f t="shared" si="59"/>
        <v>0</v>
      </c>
      <c r="AC99" s="41">
        <f t="shared" si="59"/>
        <v>0</v>
      </c>
      <c r="AD99" s="47">
        <f t="shared" si="59"/>
        <v>0</v>
      </c>
      <c r="AE99" s="47">
        <f t="shared" si="65"/>
        <v>0</v>
      </c>
      <c r="AF99" s="92">
        <f t="shared" si="83"/>
        <v>0</v>
      </c>
      <c r="AG99" s="82">
        <f>IF($A99=AI$20,'Construction Costs_2022'!$K$84+'Construction Costs_2022'!$K$7,0)</f>
        <v>0</v>
      </c>
      <c r="AH99" s="38">
        <f t="shared" si="84"/>
        <v>0</v>
      </c>
      <c r="AI99" s="38"/>
      <c r="AJ99" s="45"/>
      <c r="AK99" s="46">
        <f t="shared" si="56"/>
        <v>0</v>
      </c>
      <c r="AL99" s="41">
        <f t="shared" si="66"/>
        <v>0</v>
      </c>
      <c r="AM99" s="41">
        <f t="shared" si="67"/>
        <v>0</v>
      </c>
      <c r="AN99" s="47">
        <f t="shared" si="68"/>
        <v>0</v>
      </c>
      <c r="AO99" s="47">
        <f t="shared" si="69"/>
        <v>0</v>
      </c>
      <c r="AP99" s="92">
        <f t="shared" si="85"/>
        <v>0</v>
      </c>
      <c r="AQ99" s="82">
        <f>IF($A99=AS$20,'Construction Costs_2022'!$K$104+'Construction Costs_2022'!$K$7,0)</f>
        <v>0</v>
      </c>
      <c r="AR99" s="38">
        <f t="shared" si="86"/>
        <v>0</v>
      </c>
      <c r="AS99" s="38"/>
      <c r="AT99" s="45"/>
      <c r="AU99" s="46">
        <f t="shared" si="57"/>
        <v>0</v>
      </c>
      <c r="AV99" s="41">
        <f t="shared" si="70"/>
        <v>0</v>
      </c>
      <c r="AW99" s="41">
        <f t="shared" si="71"/>
        <v>0</v>
      </c>
      <c r="AX99" s="47">
        <f t="shared" si="72"/>
        <v>0</v>
      </c>
      <c r="AY99" s="47">
        <f t="shared" si="73"/>
        <v>0</v>
      </c>
      <c r="AZ99" s="92">
        <f t="shared" si="87"/>
        <v>0</v>
      </c>
      <c r="BA99" s="82">
        <f>IF($A99=BC$20,'Construction Costs_2022'!$K$104+'Construction Costs_2022'!$K$7,0)</f>
        <v>0</v>
      </c>
      <c r="BB99" s="38">
        <f t="shared" si="88"/>
        <v>0</v>
      </c>
      <c r="BC99" s="38"/>
      <c r="BD99" s="45"/>
      <c r="BE99" s="46">
        <f t="shared" si="91"/>
        <v>0</v>
      </c>
      <c r="BF99" s="41">
        <f t="shared" si="74"/>
        <v>0</v>
      </c>
      <c r="BG99" s="41">
        <f t="shared" si="75"/>
        <v>0</v>
      </c>
      <c r="BH99" s="47">
        <f t="shared" si="76"/>
        <v>0</v>
      </c>
      <c r="BI99" s="47">
        <f t="shared" si="77"/>
        <v>0</v>
      </c>
      <c r="BJ99" s="92">
        <f t="shared" si="89"/>
        <v>0</v>
      </c>
    </row>
    <row r="100" spans="1:62" s="3" customFormat="1" ht="12.75" x14ac:dyDescent="0.2">
      <c r="A100" s="12">
        <f t="shared" si="78"/>
        <v>75</v>
      </c>
      <c r="B100" s="13">
        <f t="shared" si="51"/>
        <v>9.4213772576691626E-2</v>
      </c>
      <c r="C100" s="82">
        <f>IF($A100=E$20,'Construction Costs_2022'!$K$22+'Construction Costs_2022'!$K$7,0)</f>
        <v>0</v>
      </c>
      <c r="D100" s="38">
        <f t="shared" si="90"/>
        <v>28800</v>
      </c>
      <c r="E100" s="38"/>
      <c r="F100" s="45"/>
      <c r="G100" s="46">
        <f t="shared" si="60"/>
        <v>28800</v>
      </c>
      <c r="H100" s="41">
        <f t="shared" si="61"/>
        <v>0</v>
      </c>
      <c r="I100" s="41">
        <f t="shared" si="61"/>
        <v>2713.3566502087187</v>
      </c>
      <c r="J100" s="47">
        <f t="shared" si="61"/>
        <v>0</v>
      </c>
      <c r="K100" s="47">
        <f t="shared" si="61"/>
        <v>0</v>
      </c>
      <c r="L100" s="92">
        <f t="shared" si="79"/>
        <v>2713.3566502087187</v>
      </c>
      <c r="M100" s="91">
        <f>IF($A100=O$20,'Construction Costs_2022'!$K$43+'Construction Costs_2022'!$K$7,0)</f>
        <v>0</v>
      </c>
      <c r="N100" s="38">
        <f t="shared" si="80"/>
        <v>43200</v>
      </c>
      <c r="O100" s="38"/>
      <c r="P100" s="45"/>
      <c r="Q100" s="46">
        <f t="shared" si="62"/>
        <v>43200</v>
      </c>
      <c r="R100" s="41">
        <f t="shared" si="58"/>
        <v>0</v>
      </c>
      <c r="S100" s="41">
        <f t="shared" si="92"/>
        <v>4070.0349753130781</v>
      </c>
      <c r="T100" s="47">
        <f t="shared" si="48"/>
        <v>0</v>
      </c>
      <c r="U100" s="47">
        <f t="shared" si="63"/>
        <v>0</v>
      </c>
      <c r="V100" s="92">
        <f t="shared" si="81"/>
        <v>4070.0349753130781</v>
      </c>
      <c r="W100" s="82">
        <f>IF($A100=Y$20,'Construction Costs_2022'!$K$64+'Construction Costs_2022'!$K$7,0)</f>
        <v>0</v>
      </c>
      <c r="X100" s="38">
        <f t="shared" si="82"/>
        <v>0</v>
      </c>
      <c r="Y100" s="38"/>
      <c r="Z100" s="45"/>
      <c r="AA100" s="46">
        <f t="shared" si="64"/>
        <v>0</v>
      </c>
      <c r="AB100" s="41">
        <f t="shared" si="59"/>
        <v>0</v>
      </c>
      <c r="AC100" s="41">
        <f t="shared" si="59"/>
        <v>0</v>
      </c>
      <c r="AD100" s="47">
        <f t="shared" si="59"/>
        <v>0</v>
      </c>
      <c r="AE100" s="47">
        <f t="shared" si="65"/>
        <v>0</v>
      </c>
      <c r="AF100" s="92">
        <f t="shared" si="83"/>
        <v>0</v>
      </c>
      <c r="AG100" s="82">
        <f>IF($A100=AI$20,'Construction Costs_2022'!$K$84+'Construction Costs_2022'!$K$7,0)</f>
        <v>0</v>
      </c>
      <c r="AH100" s="38">
        <f t="shared" si="84"/>
        <v>0</v>
      </c>
      <c r="AI100" s="38"/>
      <c r="AJ100" s="45"/>
      <c r="AK100" s="46">
        <f t="shared" si="56"/>
        <v>0</v>
      </c>
      <c r="AL100" s="41">
        <f t="shared" si="66"/>
        <v>0</v>
      </c>
      <c r="AM100" s="41">
        <f t="shared" si="67"/>
        <v>0</v>
      </c>
      <c r="AN100" s="47">
        <f t="shared" si="68"/>
        <v>0</v>
      </c>
      <c r="AO100" s="47">
        <f t="shared" si="69"/>
        <v>0</v>
      </c>
      <c r="AP100" s="92">
        <f t="shared" si="85"/>
        <v>0</v>
      </c>
      <c r="AQ100" s="82">
        <f>IF($A100=AS$20,'Construction Costs_2022'!$K$104+'Construction Costs_2022'!$K$7,0)</f>
        <v>0</v>
      </c>
      <c r="AR100" s="38">
        <f t="shared" si="86"/>
        <v>0</v>
      </c>
      <c r="AS100" s="38"/>
      <c r="AT100" s="45"/>
      <c r="AU100" s="46">
        <f t="shared" si="57"/>
        <v>0</v>
      </c>
      <c r="AV100" s="41">
        <f t="shared" si="70"/>
        <v>0</v>
      </c>
      <c r="AW100" s="41">
        <f t="shared" si="71"/>
        <v>0</v>
      </c>
      <c r="AX100" s="47">
        <f t="shared" si="72"/>
        <v>0</v>
      </c>
      <c r="AY100" s="47">
        <f t="shared" si="73"/>
        <v>0</v>
      </c>
      <c r="AZ100" s="92">
        <f t="shared" si="87"/>
        <v>0</v>
      </c>
      <c r="BA100" s="82">
        <f>IF($A100=BC$20,'Construction Costs_2022'!$K$104+'Construction Costs_2022'!$K$7,0)</f>
        <v>0</v>
      </c>
      <c r="BB100" s="38">
        <f t="shared" si="88"/>
        <v>0</v>
      </c>
      <c r="BC100" s="38"/>
      <c r="BD100" s="45"/>
      <c r="BE100" s="46">
        <f t="shared" si="91"/>
        <v>0</v>
      </c>
      <c r="BF100" s="41">
        <f t="shared" si="74"/>
        <v>0</v>
      </c>
      <c r="BG100" s="41">
        <f t="shared" si="75"/>
        <v>0</v>
      </c>
      <c r="BH100" s="47">
        <f t="shared" si="76"/>
        <v>0</v>
      </c>
      <c r="BI100" s="47">
        <f t="shared" si="77"/>
        <v>0</v>
      </c>
      <c r="BJ100" s="92">
        <f t="shared" si="89"/>
        <v>0</v>
      </c>
    </row>
    <row r="101" spans="1:62" s="3" customFormat="1" ht="12.75" x14ac:dyDescent="0.2">
      <c r="A101" s="12">
        <f t="shared" si="78"/>
        <v>76</v>
      </c>
      <c r="B101" s="13">
        <f t="shared" ref="B101:B124" si="93">B100/(1+$D$9-1%)</f>
        <v>9.1915875684577208E-2</v>
      </c>
      <c r="C101" s="82">
        <f>IF($A101=E$20,'Construction Costs_2022'!$K$22+'Construction Costs_2022'!$K$7,0)</f>
        <v>0</v>
      </c>
      <c r="D101" s="38">
        <f t="shared" si="90"/>
        <v>28800</v>
      </c>
      <c r="E101" s="38"/>
      <c r="F101" s="45"/>
      <c r="G101" s="46">
        <f t="shared" si="60"/>
        <v>28800</v>
      </c>
      <c r="H101" s="41">
        <f t="shared" si="61"/>
        <v>0</v>
      </c>
      <c r="I101" s="41">
        <f t="shared" si="61"/>
        <v>2647.1772197158234</v>
      </c>
      <c r="J101" s="47">
        <f t="shared" si="61"/>
        <v>0</v>
      </c>
      <c r="K101" s="47">
        <f t="shared" si="61"/>
        <v>0</v>
      </c>
      <c r="L101" s="92">
        <f t="shared" si="79"/>
        <v>2647.1772197158234</v>
      </c>
      <c r="M101" s="91">
        <f>IF($A101=O$20,'Construction Costs_2022'!$K$43+'Construction Costs_2022'!$K$7,0)</f>
        <v>0</v>
      </c>
      <c r="N101" s="38">
        <f t="shared" si="80"/>
        <v>43200</v>
      </c>
      <c r="O101" s="38"/>
      <c r="P101" s="45"/>
      <c r="Q101" s="46">
        <f t="shared" si="62"/>
        <v>43200</v>
      </c>
      <c r="R101" s="41">
        <f t="shared" si="58"/>
        <v>0</v>
      </c>
      <c r="S101" s="41">
        <f t="shared" si="92"/>
        <v>3970.7658295737356</v>
      </c>
      <c r="T101" s="47">
        <f t="shared" si="48"/>
        <v>0</v>
      </c>
      <c r="U101" s="47">
        <f t="shared" si="63"/>
        <v>0</v>
      </c>
      <c r="V101" s="92">
        <f t="shared" si="81"/>
        <v>3970.7658295737356</v>
      </c>
      <c r="W101" s="82">
        <f>IF($A101=Y$20,'Construction Costs_2022'!$K$64+'Construction Costs_2022'!$K$7,0)</f>
        <v>0</v>
      </c>
      <c r="X101" s="38">
        <f t="shared" si="82"/>
        <v>0</v>
      </c>
      <c r="Y101" s="38"/>
      <c r="Z101" s="45"/>
      <c r="AA101" s="46">
        <f t="shared" si="64"/>
        <v>0</v>
      </c>
      <c r="AB101" s="41">
        <f t="shared" si="59"/>
        <v>0</v>
      </c>
      <c r="AC101" s="41">
        <f t="shared" si="59"/>
        <v>0</v>
      </c>
      <c r="AD101" s="47">
        <f t="shared" si="59"/>
        <v>0</v>
      </c>
      <c r="AE101" s="47">
        <f t="shared" si="65"/>
        <v>0</v>
      </c>
      <c r="AF101" s="92">
        <f t="shared" si="83"/>
        <v>0</v>
      </c>
      <c r="AG101" s="82">
        <f>IF($A101=AI$20,'Construction Costs_2022'!$K$84+'Construction Costs_2022'!$K$7,0)</f>
        <v>0</v>
      </c>
      <c r="AH101" s="38">
        <f t="shared" si="84"/>
        <v>0</v>
      </c>
      <c r="AI101" s="38"/>
      <c r="AJ101" s="45"/>
      <c r="AK101" s="46">
        <f t="shared" si="56"/>
        <v>0</v>
      </c>
      <c r="AL101" s="41">
        <f t="shared" si="66"/>
        <v>0</v>
      </c>
      <c r="AM101" s="41">
        <f t="shared" si="67"/>
        <v>0</v>
      </c>
      <c r="AN101" s="47">
        <f t="shared" si="68"/>
        <v>0</v>
      </c>
      <c r="AO101" s="47">
        <f t="shared" si="69"/>
        <v>0</v>
      </c>
      <c r="AP101" s="92">
        <f t="shared" si="85"/>
        <v>0</v>
      </c>
      <c r="AQ101" s="82">
        <f>IF($A101=AS$20,'Construction Costs_2022'!$K$104+'Construction Costs_2022'!$K$7,0)</f>
        <v>0</v>
      </c>
      <c r="AR101" s="38">
        <f t="shared" si="86"/>
        <v>0</v>
      </c>
      <c r="AS101" s="38"/>
      <c r="AT101" s="45"/>
      <c r="AU101" s="46">
        <f t="shared" si="57"/>
        <v>0</v>
      </c>
      <c r="AV101" s="41">
        <f t="shared" si="70"/>
        <v>0</v>
      </c>
      <c r="AW101" s="41">
        <f t="shared" si="71"/>
        <v>0</v>
      </c>
      <c r="AX101" s="47">
        <f t="shared" si="72"/>
        <v>0</v>
      </c>
      <c r="AY101" s="47">
        <f t="shared" si="73"/>
        <v>0</v>
      </c>
      <c r="AZ101" s="92">
        <f t="shared" si="87"/>
        <v>0</v>
      </c>
      <c r="BA101" s="82">
        <f>IF($A101=BC$20,'Construction Costs_2022'!$K$104+'Construction Costs_2022'!$K$7,0)</f>
        <v>0</v>
      </c>
      <c r="BB101" s="38">
        <f t="shared" si="88"/>
        <v>0</v>
      </c>
      <c r="BC101" s="38"/>
      <c r="BD101" s="45"/>
      <c r="BE101" s="46">
        <f t="shared" si="91"/>
        <v>0</v>
      </c>
      <c r="BF101" s="41">
        <f t="shared" si="74"/>
        <v>0</v>
      </c>
      <c r="BG101" s="41">
        <f t="shared" si="75"/>
        <v>0</v>
      </c>
      <c r="BH101" s="47">
        <f t="shared" si="76"/>
        <v>0</v>
      </c>
      <c r="BI101" s="47">
        <f t="shared" si="77"/>
        <v>0</v>
      </c>
      <c r="BJ101" s="92">
        <f t="shared" si="89"/>
        <v>0</v>
      </c>
    </row>
    <row r="102" spans="1:62" s="3" customFormat="1" ht="12.75" x14ac:dyDescent="0.2">
      <c r="A102" s="12">
        <f t="shared" si="78"/>
        <v>77</v>
      </c>
      <c r="B102" s="13">
        <f t="shared" si="93"/>
        <v>8.9674025058124107E-2</v>
      </c>
      <c r="C102" s="82">
        <f>IF($A102=E$20,'Construction Costs_2022'!$K$22+'Construction Costs_2022'!$K$7,0)</f>
        <v>0</v>
      </c>
      <c r="D102" s="38">
        <f t="shared" si="90"/>
        <v>28800</v>
      </c>
      <c r="E102" s="38"/>
      <c r="F102" s="45"/>
      <c r="G102" s="46">
        <f t="shared" si="60"/>
        <v>28800</v>
      </c>
      <c r="H102" s="41">
        <f t="shared" si="61"/>
        <v>0</v>
      </c>
      <c r="I102" s="41">
        <f t="shared" si="61"/>
        <v>2582.6119216739744</v>
      </c>
      <c r="J102" s="47">
        <f t="shared" si="61"/>
        <v>0</v>
      </c>
      <c r="K102" s="47">
        <f t="shared" si="61"/>
        <v>0</v>
      </c>
      <c r="L102" s="92">
        <f t="shared" si="79"/>
        <v>2582.6119216739744</v>
      </c>
      <c r="M102" s="91">
        <f>IF($A102=O$20,'Construction Costs_2022'!$K$43+'Construction Costs_2022'!$K$7,0)</f>
        <v>0</v>
      </c>
      <c r="N102" s="38">
        <f t="shared" si="80"/>
        <v>43200</v>
      </c>
      <c r="O102" s="38"/>
      <c r="P102" s="45"/>
      <c r="Q102" s="46">
        <f t="shared" si="62"/>
        <v>43200</v>
      </c>
      <c r="R102" s="41">
        <f t="shared" si="58"/>
        <v>0</v>
      </c>
      <c r="S102" s="41">
        <f t="shared" si="92"/>
        <v>3873.9178825109616</v>
      </c>
      <c r="T102" s="47">
        <f t="shared" ref="T102:T124" si="94">O103*$B102</f>
        <v>0</v>
      </c>
      <c r="U102" s="47">
        <f t="shared" si="63"/>
        <v>0</v>
      </c>
      <c r="V102" s="92">
        <f t="shared" si="81"/>
        <v>3873.9178825109616</v>
      </c>
      <c r="W102" s="82">
        <f>IF($A102=Y$20,'Construction Costs_2022'!$K$64+'Construction Costs_2022'!$K$7,0)</f>
        <v>0</v>
      </c>
      <c r="X102" s="38">
        <f t="shared" si="82"/>
        <v>86400</v>
      </c>
      <c r="Y102" s="38"/>
      <c r="Z102" s="45"/>
      <c r="AA102" s="46">
        <f t="shared" si="64"/>
        <v>86400</v>
      </c>
      <c r="AB102" s="41">
        <f t="shared" si="59"/>
        <v>0</v>
      </c>
      <c r="AC102" s="41">
        <f t="shared" si="59"/>
        <v>7747.8357650219232</v>
      </c>
      <c r="AD102" s="47">
        <f t="shared" si="59"/>
        <v>0</v>
      </c>
      <c r="AE102" s="47">
        <f t="shared" si="65"/>
        <v>0</v>
      </c>
      <c r="AF102" s="92">
        <f t="shared" si="83"/>
        <v>7747.8357650219232</v>
      </c>
      <c r="AG102" s="82">
        <f>IF($A102=AI$20,'Construction Costs_2022'!$K$84+'Construction Costs_2022'!$K$7,0)</f>
        <v>0</v>
      </c>
      <c r="AH102" s="38">
        <f t="shared" si="84"/>
        <v>100800</v>
      </c>
      <c r="AI102" s="38"/>
      <c r="AJ102" s="45"/>
      <c r="AK102" s="46">
        <f t="shared" si="56"/>
        <v>100800</v>
      </c>
      <c r="AL102" s="41">
        <f t="shared" si="66"/>
        <v>0</v>
      </c>
      <c r="AM102" s="41">
        <f t="shared" si="67"/>
        <v>9039.1417258589099</v>
      </c>
      <c r="AN102" s="47">
        <f t="shared" si="68"/>
        <v>0</v>
      </c>
      <c r="AO102" s="47">
        <f t="shared" si="69"/>
        <v>0</v>
      </c>
      <c r="AP102" s="92">
        <f t="shared" si="85"/>
        <v>9039.1417258589099</v>
      </c>
      <c r="AQ102" s="82">
        <f>IF($A102=AS$20,'Construction Costs_2022'!$K$104+'Construction Costs_2022'!$K$7,0)</f>
        <v>0</v>
      </c>
      <c r="AR102" s="38">
        <f t="shared" si="86"/>
        <v>57600</v>
      </c>
      <c r="AS102" s="38"/>
      <c r="AT102" s="45"/>
      <c r="AU102" s="46">
        <f t="shared" si="57"/>
        <v>57600</v>
      </c>
      <c r="AV102" s="41">
        <f t="shared" si="70"/>
        <v>0</v>
      </c>
      <c r="AW102" s="41">
        <f t="shared" si="71"/>
        <v>5165.2238433479488</v>
      </c>
      <c r="AX102" s="47">
        <f t="shared" si="72"/>
        <v>0</v>
      </c>
      <c r="AY102" s="47">
        <f t="shared" si="73"/>
        <v>0</v>
      </c>
      <c r="AZ102" s="92">
        <f t="shared" si="87"/>
        <v>5165.2238433479488</v>
      </c>
      <c r="BA102" s="82">
        <f>IF($A102=BC$20,'Construction Costs_2022'!$K$104+'Construction Costs_2022'!$K$7,0)</f>
        <v>0</v>
      </c>
      <c r="BB102" s="38">
        <f t="shared" si="88"/>
        <v>86400</v>
      </c>
      <c r="BC102" s="38"/>
      <c r="BD102" s="45"/>
      <c r="BE102" s="46">
        <f t="shared" si="91"/>
        <v>86400</v>
      </c>
      <c r="BF102" s="41">
        <f t="shared" si="74"/>
        <v>0</v>
      </c>
      <c r="BG102" s="41">
        <f t="shared" si="75"/>
        <v>7747.8357650219232</v>
      </c>
      <c r="BH102" s="47">
        <f t="shared" si="76"/>
        <v>0</v>
      </c>
      <c r="BI102" s="47">
        <f t="shared" si="77"/>
        <v>0</v>
      </c>
      <c r="BJ102" s="92">
        <f t="shared" si="89"/>
        <v>7747.8357650219232</v>
      </c>
    </row>
    <row r="103" spans="1:62" s="3" customFormat="1" ht="12.75" x14ac:dyDescent="0.2">
      <c r="A103" s="12">
        <f t="shared" si="78"/>
        <v>78</v>
      </c>
      <c r="B103" s="13">
        <f t="shared" si="93"/>
        <v>8.7486853715243035E-2</v>
      </c>
      <c r="C103" s="82">
        <f>IF($A103=E$20,'Construction Costs_2022'!$K$22+'Construction Costs_2022'!$K$7,0)</f>
        <v>0</v>
      </c>
      <c r="D103" s="38">
        <f t="shared" si="90"/>
        <v>28800</v>
      </c>
      <c r="E103" s="38"/>
      <c r="F103" s="45"/>
      <c r="G103" s="46">
        <f t="shared" si="60"/>
        <v>28800</v>
      </c>
      <c r="H103" s="41">
        <f t="shared" si="61"/>
        <v>0</v>
      </c>
      <c r="I103" s="41">
        <f t="shared" si="61"/>
        <v>2519.6213869989992</v>
      </c>
      <c r="J103" s="47">
        <f t="shared" si="61"/>
        <v>0</v>
      </c>
      <c r="K103" s="47">
        <f t="shared" si="61"/>
        <v>0</v>
      </c>
      <c r="L103" s="92">
        <f t="shared" si="79"/>
        <v>2519.6213869989992</v>
      </c>
      <c r="M103" s="91">
        <f>IF($A103=O$20,'Construction Costs_2022'!$K$43+'Construction Costs_2022'!$K$7,0)</f>
        <v>0</v>
      </c>
      <c r="N103" s="38">
        <f t="shared" si="80"/>
        <v>43200</v>
      </c>
      <c r="O103" s="38"/>
      <c r="P103" s="45"/>
      <c r="Q103" s="46">
        <f t="shared" si="62"/>
        <v>43200</v>
      </c>
      <c r="R103" s="41">
        <f t="shared" si="58"/>
        <v>0</v>
      </c>
      <c r="S103" s="41">
        <f t="shared" si="92"/>
        <v>3779.4320804984991</v>
      </c>
      <c r="T103" s="47">
        <f t="shared" si="94"/>
        <v>0</v>
      </c>
      <c r="U103" s="47">
        <f t="shared" si="63"/>
        <v>0</v>
      </c>
      <c r="V103" s="92">
        <f t="shared" si="81"/>
        <v>3779.4320804984991</v>
      </c>
      <c r="W103" s="82">
        <f>IF($A103=Y$20,'Construction Costs_2022'!$K$64+'Construction Costs_2022'!$K$7,0)</f>
        <v>0</v>
      </c>
      <c r="X103" s="38">
        <f t="shared" si="82"/>
        <v>0</v>
      </c>
      <c r="Y103" s="38"/>
      <c r="Z103" s="45"/>
      <c r="AA103" s="46">
        <f t="shared" si="64"/>
        <v>0</v>
      </c>
      <c r="AB103" s="41">
        <f t="shared" si="59"/>
        <v>0</v>
      </c>
      <c r="AC103" s="41">
        <f t="shared" si="59"/>
        <v>0</v>
      </c>
      <c r="AD103" s="47">
        <f t="shared" si="59"/>
        <v>0</v>
      </c>
      <c r="AE103" s="47">
        <f t="shared" si="65"/>
        <v>0</v>
      </c>
      <c r="AF103" s="92">
        <f t="shared" si="83"/>
        <v>0</v>
      </c>
      <c r="AG103" s="82">
        <f>IF($A103=AI$20,'Construction Costs_2022'!$K$84+'Construction Costs_2022'!$K$7,0)</f>
        <v>0</v>
      </c>
      <c r="AH103" s="38">
        <f t="shared" si="84"/>
        <v>0</v>
      </c>
      <c r="AI103" s="38"/>
      <c r="AJ103" s="45"/>
      <c r="AK103" s="46">
        <f t="shared" si="56"/>
        <v>0</v>
      </c>
      <c r="AL103" s="41">
        <f t="shared" si="66"/>
        <v>0</v>
      </c>
      <c r="AM103" s="41">
        <f t="shared" si="67"/>
        <v>0</v>
      </c>
      <c r="AN103" s="47">
        <f t="shared" si="68"/>
        <v>0</v>
      </c>
      <c r="AO103" s="47">
        <f t="shared" si="69"/>
        <v>0</v>
      </c>
      <c r="AP103" s="92">
        <f t="shared" si="85"/>
        <v>0</v>
      </c>
      <c r="AQ103" s="82">
        <f>IF($A103=AS$20,'Construction Costs_2022'!$K$104+'Construction Costs_2022'!$K$7,0)</f>
        <v>0</v>
      </c>
      <c r="AR103" s="38">
        <f t="shared" si="86"/>
        <v>0</v>
      </c>
      <c r="AS103" s="38"/>
      <c r="AT103" s="45"/>
      <c r="AU103" s="46">
        <f t="shared" si="57"/>
        <v>0</v>
      </c>
      <c r="AV103" s="41">
        <f t="shared" si="70"/>
        <v>0</v>
      </c>
      <c r="AW103" s="41">
        <f t="shared" si="71"/>
        <v>0</v>
      </c>
      <c r="AX103" s="47">
        <f t="shared" si="72"/>
        <v>0</v>
      </c>
      <c r="AY103" s="47">
        <f t="shared" si="73"/>
        <v>0</v>
      </c>
      <c r="AZ103" s="92">
        <f t="shared" si="87"/>
        <v>0</v>
      </c>
      <c r="BA103" s="82">
        <f>IF($A103=BC$20,'Construction Costs_2022'!$K$104+'Construction Costs_2022'!$K$7,0)</f>
        <v>0</v>
      </c>
      <c r="BB103" s="38">
        <f t="shared" si="88"/>
        <v>0</v>
      </c>
      <c r="BC103" s="38"/>
      <c r="BD103" s="45"/>
      <c r="BE103" s="46">
        <f t="shared" si="91"/>
        <v>0</v>
      </c>
      <c r="BF103" s="41">
        <f t="shared" si="74"/>
        <v>0</v>
      </c>
      <c r="BG103" s="41">
        <f t="shared" si="75"/>
        <v>0</v>
      </c>
      <c r="BH103" s="47">
        <f t="shared" si="76"/>
        <v>0</v>
      </c>
      <c r="BI103" s="47">
        <f t="shared" si="77"/>
        <v>0</v>
      </c>
      <c r="BJ103" s="92">
        <f t="shared" si="89"/>
        <v>0</v>
      </c>
    </row>
    <row r="104" spans="1:62" s="3" customFormat="1" ht="12.75" x14ac:dyDescent="0.2">
      <c r="A104" s="12">
        <f t="shared" si="78"/>
        <v>79</v>
      </c>
      <c r="B104" s="13">
        <f t="shared" si="93"/>
        <v>8.5353028014871254E-2</v>
      </c>
      <c r="C104" s="82">
        <f>IF($A104=E$20,'Construction Costs_2022'!$K$22+'Construction Costs_2022'!$K$7,0)</f>
        <v>0</v>
      </c>
      <c r="D104" s="38">
        <f t="shared" si="90"/>
        <v>28800</v>
      </c>
      <c r="E104" s="38"/>
      <c r="F104" s="45"/>
      <c r="G104" s="46">
        <f t="shared" si="60"/>
        <v>28800</v>
      </c>
      <c r="H104" s="41">
        <f t="shared" si="61"/>
        <v>0</v>
      </c>
      <c r="I104" s="41">
        <f t="shared" si="61"/>
        <v>2458.1672068282919</v>
      </c>
      <c r="J104" s="47">
        <f t="shared" si="61"/>
        <v>0</v>
      </c>
      <c r="K104" s="47">
        <f t="shared" si="61"/>
        <v>0</v>
      </c>
      <c r="L104" s="92">
        <f t="shared" si="79"/>
        <v>2458.1672068282919</v>
      </c>
      <c r="M104" s="91">
        <f>IF($A104=O$20,'Construction Costs_2022'!$K$43+'Construction Costs_2022'!$K$7,0)</f>
        <v>0</v>
      </c>
      <c r="N104" s="38">
        <f t="shared" si="80"/>
        <v>43200</v>
      </c>
      <c r="O104" s="38"/>
      <c r="P104" s="45"/>
      <c r="Q104" s="46">
        <f t="shared" si="62"/>
        <v>43200</v>
      </c>
      <c r="R104" s="41">
        <f t="shared" si="58"/>
        <v>0</v>
      </c>
      <c r="S104" s="41">
        <f t="shared" si="92"/>
        <v>3687.2508102424381</v>
      </c>
      <c r="T104" s="47">
        <f t="shared" si="94"/>
        <v>0</v>
      </c>
      <c r="U104" s="47">
        <f t="shared" si="63"/>
        <v>0</v>
      </c>
      <c r="V104" s="92">
        <f t="shared" si="81"/>
        <v>3687.2508102424381</v>
      </c>
      <c r="W104" s="82">
        <f>IF($A104=Y$20,'Construction Costs_2022'!$K$64+'Construction Costs_2022'!$K$7,0)</f>
        <v>0</v>
      </c>
      <c r="X104" s="38">
        <f t="shared" si="82"/>
        <v>0</v>
      </c>
      <c r="Y104" s="38"/>
      <c r="Z104" s="45"/>
      <c r="AA104" s="46">
        <f t="shared" si="64"/>
        <v>0</v>
      </c>
      <c r="AB104" s="41">
        <f t="shared" si="59"/>
        <v>0</v>
      </c>
      <c r="AC104" s="41">
        <f t="shared" si="59"/>
        <v>0</v>
      </c>
      <c r="AD104" s="47">
        <f t="shared" si="59"/>
        <v>0</v>
      </c>
      <c r="AE104" s="47">
        <f t="shared" si="65"/>
        <v>0</v>
      </c>
      <c r="AF104" s="92">
        <f t="shared" si="83"/>
        <v>0</v>
      </c>
      <c r="AG104" s="82">
        <f>IF($A104=AI$20,'Construction Costs_2022'!$K$84+'Construction Costs_2022'!$K$7,0)</f>
        <v>0</v>
      </c>
      <c r="AH104" s="38">
        <f t="shared" si="84"/>
        <v>0</v>
      </c>
      <c r="AI104" s="38"/>
      <c r="AJ104" s="45"/>
      <c r="AK104" s="46">
        <f t="shared" si="56"/>
        <v>0</v>
      </c>
      <c r="AL104" s="41">
        <f t="shared" si="66"/>
        <v>0</v>
      </c>
      <c r="AM104" s="41">
        <f t="shared" si="67"/>
        <v>0</v>
      </c>
      <c r="AN104" s="47">
        <f t="shared" si="68"/>
        <v>0</v>
      </c>
      <c r="AO104" s="47">
        <f t="shared" si="69"/>
        <v>0</v>
      </c>
      <c r="AP104" s="92">
        <f t="shared" si="85"/>
        <v>0</v>
      </c>
      <c r="AQ104" s="82">
        <f>IF($A104=AS$20,'Construction Costs_2022'!$K$104+'Construction Costs_2022'!$K$7,0)</f>
        <v>0</v>
      </c>
      <c r="AR104" s="38">
        <f t="shared" si="86"/>
        <v>0</v>
      </c>
      <c r="AS104" s="38"/>
      <c r="AT104" s="45"/>
      <c r="AU104" s="46">
        <f t="shared" si="57"/>
        <v>0</v>
      </c>
      <c r="AV104" s="41">
        <f t="shared" si="70"/>
        <v>0</v>
      </c>
      <c r="AW104" s="41">
        <f t="shared" si="71"/>
        <v>0</v>
      </c>
      <c r="AX104" s="47">
        <f t="shared" si="72"/>
        <v>0</v>
      </c>
      <c r="AY104" s="47">
        <f t="shared" si="73"/>
        <v>0</v>
      </c>
      <c r="AZ104" s="92">
        <f t="shared" si="87"/>
        <v>0</v>
      </c>
      <c r="BA104" s="82">
        <f>IF($A104=BC$20,'Construction Costs_2022'!$K$104+'Construction Costs_2022'!$K$7,0)</f>
        <v>0</v>
      </c>
      <c r="BB104" s="38">
        <f t="shared" si="88"/>
        <v>0</v>
      </c>
      <c r="BC104" s="38"/>
      <c r="BD104" s="45"/>
      <c r="BE104" s="46">
        <f t="shared" si="91"/>
        <v>0</v>
      </c>
      <c r="BF104" s="41">
        <f t="shared" si="74"/>
        <v>0</v>
      </c>
      <c r="BG104" s="41">
        <f t="shared" si="75"/>
        <v>0</v>
      </c>
      <c r="BH104" s="47">
        <f t="shared" si="76"/>
        <v>0</v>
      </c>
      <c r="BI104" s="47">
        <f t="shared" si="77"/>
        <v>0</v>
      </c>
      <c r="BJ104" s="92">
        <f t="shared" si="89"/>
        <v>0</v>
      </c>
    </row>
    <row r="105" spans="1:62" s="3" customFormat="1" ht="12.75" x14ac:dyDescent="0.2">
      <c r="A105" s="12">
        <f t="shared" si="78"/>
        <v>80</v>
      </c>
      <c r="B105" s="13">
        <f t="shared" si="93"/>
        <v>8.3271246843776847E-2</v>
      </c>
      <c r="C105" s="82">
        <f>IF($A105=E$20,'Construction Costs_2022'!$K$22+'Construction Costs_2022'!$K$7,0)</f>
        <v>0</v>
      </c>
      <c r="D105" s="38">
        <f t="shared" si="90"/>
        <v>28800</v>
      </c>
      <c r="E105" s="38"/>
      <c r="F105" s="45"/>
      <c r="G105" s="46">
        <f t="shared" si="60"/>
        <v>28800</v>
      </c>
      <c r="H105" s="41">
        <f t="shared" si="61"/>
        <v>0</v>
      </c>
      <c r="I105" s="41">
        <f t="shared" si="61"/>
        <v>2398.211909100773</v>
      </c>
      <c r="J105" s="47">
        <f t="shared" si="61"/>
        <v>0</v>
      </c>
      <c r="K105" s="47">
        <f t="shared" si="61"/>
        <v>0</v>
      </c>
      <c r="L105" s="92">
        <f t="shared" si="79"/>
        <v>2398.211909100773</v>
      </c>
      <c r="M105" s="91">
        <f>IF($A105=O$20,'Construction Costs_2022'!$K$43+'Construction Costs_2022'!$K$7,0)</f>
        <v>0</v>
      </c>
      <c r="N105" s="38">
        <f t="shared" si="80"/>
        <v>43200</v>
      </c>
      <c r="O105" s="38"/>
      <c r="P105" s="45"/>
      <c r="Q105" s="46">
        <f t="shared" si="62"/>
        <v>43200</v>
      </c>
      <c r="R105" s="41">
        <f t="shared" ref="R105:R124" si="95">M105*$B105</f>
        <v>0</v>
      </c>
      <c r="S105" s="41">
        <f t="shared" si="92"/>
        <v>3597.3178636511598</v>
      </c>
      <c r="T105" s="47">
        <f t="shared" si="94"/>
        <v>0</v>
      </c>
      <c r="U105" s="47">
        <f t="shared" si="63"/>
        <v>0</v>
      </c>
      <c r="V105" s="92">
        <f t="shared" si="81"/>
        <v>3597.3178636511598</v>
      </c>
      <c r="W105" s="82">
        <f>IF($A105=Y$20,'Construction Costs_2022'!$K$64+'Construction Costs_2022'!$K$7,0)</f>
        <v>0</v>
      </c>
      <c r="X105" s="38">
        <f t="shared" si="82"/>
        <v>0</v>
      </c>
      <c r="Y105" s="38"/>
      <c r="Z105" s="45"/>
      <c r="AA105" s="46">
        <f t="shared" si="64"/>
        <v>0</v>
      </c>
      <c r="AB105" s="41">
        <f t="shared" ref="AB105:AD124" si="96">W105*$B105</f>
        <v>0</v>
      </c>
      <c r="AC105" s="41">
        <f t="shared" si="96"/>
        <v>0</v>
      </c>
      <c r="AD105" s="47">
        <f t="shared" si="96"/>
        <v>0</v>
      </c>
      <c r="AE105" s="47">
        <f t="shared" si="65"/>
        <v>0</v>
      </c>
      <c r="AF105" s="92">
        <f t="shared" si="83"/>
        <v>0</v>
      </c>
      <c r="AG105" s="82">
        <f>IF($A105=AI$20,'Construction Costs_2022'!$K$84+'Construction Costs_2022'!$K$7,0)</f>
        <v>0</v>
      </c>
      <c r="AH105" s="38">
        <f t="shared" si="84"/>
        <v>0</v>
      </c>
      <c r="AI105" s="38"/>
      <c r="AJ105" s="45"/>
      <c r="AK105" s="46">
        <f t="shared" si="56"/>
        <v>0</v>
      </c>
      <c r="AL105" s="41">
        <f t="shared" si="66"/>
        <v>0</v>
      </c>
      <c r="AM105" s="41">
        <f t="shared" si="67"/>
        <v>0</v>
      </c>
      <c r="AN105" s="47">
        <f t="shared" si="68"/>
        <v>0</v>
      </c>
      <c r="AO105" s="47">
        <f t="shared" si="69"/>
        <v>0</v>
      </c>
      <c r="AP105" s="92">
        <f t="shared" si="85"/>
        <v>0</v>
      </c>
      <c r="AQ105" s="82">
        <f>IF($A105=AS$20,'Construction Costs_2022'!$K$104+'Construction Costs_2022'!$K$7,0)</f>
        <v>0</v>
      </c>
      <c r="AR105" s="38">
        <f t="shared" si="86"/>
        <v>0</v>
      </c>
      <c r="AS105" s="38"/>
      <c r="AT105" s="45"/>
      <c r="AU105" s="46">
        <f t="shared" si="57"/>
        <v>0</v>
      </c>
      <c r="AV105" s="41">
        <f t="shared" si="70"/>
        <v>0</v>
      </c>
      <c r="AW105" s="41">
        <f t="shared" si="71"/>
        <v>0</v>
      </c>
      <c r="AX105" s="47">
        <f t="shared" si="72"/>
        <v>0</v>
      </c>
      <c r="AY105" s="47">
        <f t="shared" si="73"/>
        <v>0</v>
      </c>
      <c r="AZ105" s="92">
        <f t="shared" si="87"/>
        <v>0</v>
      </c>
      <c r="BA105" s="82">
        <f>IF($A105=BC$20,'Construction Costs_2022'!$K$104+'Construction Costs_2022'!$K$7,0)</f>
        <v>0</v>
      </c>
      <c r="BB105" s="38">
        <f t="shared" si="88"/>
        <v>0</v>
      </c>
      <c r="BC105" s="38"/>
      <c r="BD105" s="45"/>
      <c r="BE105" s="46">
        <f t="shared" si="91"/>
        <v>0</v>
      </c>
      <c r="BF105" s="41">
        <f t="shared" si="74"/>
        <v>0</v>
      </c>
      <c r="BG105" s="41">
        <f t="shared" si="75"/>
        <v>0</v>
      </c>
      <c r="BH105" s="47">
        <f t="shared" si="76"/>
        <v>0</v>
      </c>
      <c r="BI105" s="47">
        <f t="shared" si="77"/>
        <v>0</v>
      </c>
      <c r="BJ105" s="92">
        <f t="shared" si="89"/>
        <v>0</v>
      </c>
    </row>
    <row r="106" spans="1:62" s="3" customFormat="1" ht="12.75" x14ac:dyDescent="0.2">
      <c r="A106" s="12">
        <f t="shared" si="78"/>
        <v>81</v>
      </c>
      <c r="B106" s="13">
        <f t="shared" si="93"/>
        <v>8.1240240823196933E-2</v>
      </c>
      <c r="C106" s="82">
        <f>IF($A106=E$20,'Construction Costs_2022'!$K$22+'Construction Costs_2022'!$K$7,0)</f>
        <v>0</v>
      </c>
      <c r="D106" s="38">
        <f t="shared" si="90"/>
        <v>28800</v>
      </c>
      <c r="E106" s="38"/>
      <c r="F106" s="45"/>
      <c r="G106" s="46">
        <f t="shared" si="60"/>
        <v>28800</v>
      </c>
      <c r="H106" s="41">
        <f t="shared" si="61"/>
        <v>0</v>
      </c>
      <c r="I106" s="41">
        <f t="shared" si="61"/>
        <v>2339.7189357080715</v>
      </c>
      <c r="J106" s="47">
        <f t="shared" si="61"/>
        <v>0</v>
      </c>
      <c r="K106" s="47">
        <f t="shared" si="61"/>
        <v>0</v>
      </c>
      <c r="L106" s="92">
        <f t="shared" si="79"/>
        <v>2339.7189357080715</v>
      </c>
      <c r="M106" s="91">
        <f>IF($A106=O$20,'Construction Costs_2022'!$K$43+'Construction Costs_2022'!$K$7,0)</f>
        <v>0</v>
      </c>
      <c r="N106" s="38">
        <f t="shared" si="80"/>
        <v>43200</v>
      </c>
      <c r="O106" s="38"/>
      <c r="P106" s="45"/>
      <c r="Q106" s="46">
        <f t="shared" si="62"/>
        <v>43200</v>
      </c>
      <c r="R106" s="41">
        <f t="shared" si="95"/>
        <v>0</v>
      </c>
      <c r="S106" s="41">
        <f t="shared" si="92"/>
        <v>3509.5784035621073</v>
      </c>
      <c r="T106" s="47">
        <f t="shared" si="94"/>
        <v>0</v>
      </c>
      <c r="U106" s="47">
        <f t="shared" si="63"/>
        <v>0</v>
      </c>
      <c r="V106" s="92">
        <f t="shared" si="81"/>
        <v>3509.5784035621073</v>
      </c>
      <c r="W106" s="82">
        <f>IF($A106=Y$20,'Construction Costs_2022'!$K$64+'Construction Costs_2022'!$K$7,0)</f>
        <v>0</v>
      </c>
      <c r="X106" s="38">
        <f t="shared" si="82"/>
        <v>0</v>
      </c>
      <c r="Y106" s="38"/>
      <c r="Z106" s="45"/>
      <c r="AA106" s="46">
        <f t="shared" si="64"/>
        <v>0</v>
      </c>
      <c r="AB106" s="41">
        <f t="shared" si="96"/>
        <v>0</v>
      </c>
      <c r="AC106" s="41">
        <f t="shared" si="96"/>
        <v>0</v>
      </c>
      <c r="AD106" s="47">
        <f t="shared" si="96"/>
        <v>0</v>
      </c>
      <c r="AE106" s="47">
        <f t="shared" si="65"/>
        <v>0</v>
      </c>
      <c r="AF106" s="92">
        <f t="shared" si="83"/>
        <v>0</v>
      </c>
      <c r="AG106" s="82">
        <f>IF($A106=AI$20,'Construction Costs_2022'!$K$84+'Construction Costs_2022'!$K$7,0)</f>
        <v>0</v>
      </c>
      <c r="AH106" s="38">
        <f t="shared" si="84"/>
        <v>0</v>
      </c>
      <c r="AI106" s="38"/>
      <c r="AJ106" s="45"/>
      <c r="AK106" s="46">
        <f t="shared" si="56"/>
        <v>0</v>
      </c>
      <c r="AL106" s="41">
        <f t="shared" si="66"/>
        <v>0</v>
      </c>
      <c r="AM106" s="41">
        <f t="shared" si="67"/>
        <v>0</v>
      </c>
      <c r="AN106" s="47">
        <f t="shared" si="68"/>
        <v>0</v>
      </c>
      <c r="AO106" s="47">
        <f t="shared" si="69"/>
        <v>0</v>
      </c>
      <c r="AP106" s="92">
        <f t="shared" si="85"/>
        <v>0</v>
      </c>
      <c r="AQ106" s="82">
        <f>IF($A106=AS$20,'Construction Costs_2022'!$K$104+'Construction Costs_2022'!$K$7,0)</f>
        <v>0</v>
      </c>
      <c r="AR106" s="38">
        <f t="shared" si="86"/>
        <v>0</v>
      </c>
      <c r="AS106" s="38"/>
      <c r="AT106" s="45"/>
      <c r="AU106" s="46">
        <f t="shared" si="57"/>
        <v>0</v>
      </c>
      <c r="AV106" s="41">
        <f t="shared" si="70"/>
        <v>0</v>
      </c>
      <c r="AW106" s="41">
        <f t="shared" si="71"/>
        <v>0</v>
      </c>
      <c r="AX106" s="47">
        <f t="shared" si="72"/>
        <v>0</v>
      </c>
      <c r="AY106" s="47">
        <f t="shared" si="73"/>
        <v>0</v>
      </c>
      <c r="AZ106" s="92">
        <f t="shared" si="87"/>
        <v>0</v>
      </c>
      <c r="BA106" s="82">
        <f>IF($A106=BC$20,'Construction Costs_2022'!$K$104+'Construction Costs_2022'!$K$7,0)</f>
        <v>0</v>
      </c>
      <c r="BB106" s="38">
        <f t="shared" si="88"/>
        <v>0</v>
      </c>
      <c r="BC106" s="38"/>
      <c r="BD106" s="45"/>
      <c r="BE106" s="46">
        <f t="shared" si="91"/>
        <v>0</v>
      </c>
      <c r="BF106" s="41">
        <f t="shared" si="74"/>
        <v>0</v>
      </c>
      <c r="BG106" s="41">
        <f t="shared" si="75"/>
        <v>0</v>
      </c>
      <c r="BH106" s="47">
        <f t="shared" si="76"/>
        <v>0</v>
      </c>
      <c r="BI106" s="47">
        <f t="shared" si="77"/>
        <v>0</v>
      </c>
      <c r="BJ106" s="92">
        <f t="shared" si="89"/>
        <v>0</v>
      </c>
    </row>
    <row r="107" spans="1:62" s="3" customFormat="1" ht="12.75" x14ac:dyDescent="0.2">
      <c r="A107" s="12">
        <f t="shared" si="78"/>
        <v>82</v>
      </c>
      <c r="B107" s="13">
        <f t="shared" si="93"/>
        <v>7.9258771534826286E-2</v>
      </c>
      <c r="C107" s="82">
        <f>IF($A107=E$20,'Construction Costs_2022'!$K$22+'Construction Costs_2022'!$K$7,0)</f>
        <v>0</v>
      </c>
      <c r="D107" s="38">
        <f t="shared" si="90"/>
        <v>1301900</v>
      </c>
      <c r="E107" s="38"/>
      <c r="F107" s="45"/>
      <c r="G107" s="46">
        <f t="shared" si="60"/>
        <v>1301900</v>
      </c>
      <c r="H107" s="41">
        <f t="shared" si="61"/>
        <v>0</v>
      </c>
      <c r="I107" s="41">
        <f t="shared" si="61"/>
        <v>103186.99466119034</v>
      </c>
      <c r="J107" s="47">
        <f t="shared" si="61"/>
        <v>0</v>
      </c>
      <c r="K107" s="47">
        <f t="shared" si="61"/>
        <v>0</v>
      </c>
      <c r="L107" s="92">
        <f t="shared" si="79"/>
        <v>103186.99466119034</v>
      </c>
      <c r="M107" s="91">
        <f>IF($A107=O$20,'Construction Costs_2022'!$K$43+'Construction Costs_2022'!$K$7,0)</f>
        <v>0</v>
      </c>
      <c r="N107" s="38">
        <f t="shared" si="80"/>
        <v>1207840</v>
      </c>
      <c r="O107" s="38"/>
      <c r="P107" s="45"/>
      <c r="Q107" s="46">
        <f t="shared" si="62"/>
        <v>1207840</v>
      </c>
      <c r="R107" s="41">
        <f t="shared" si="95"/>
        <v>0</v>
      </c>
      <c r="S107" s="41">
        <f t="shared" si="92"/>
        <v>95731.914610624575</v>
      </c>
      <c r="T107" s="47">
        <f t="shared" si="94"/>
        <v>0</v>
      </c>
      <c r="U107" s="47">
        <f t="shared" si="63"/>
        <v>0</v>
      </c>
      <c r="V107" s="92">
        <f t="shared" si="81"/>
        <v>95731.914610624575</v>
      </c>
      <c r="W107" s="82">
        <f>IF($A107=Y$20,'Construction Costs_2022'!$K$64+'Construction Costs_2022'!$K$7,0)</f>
        <v>0</v>
      </c>
      <c r="X107" s="38">
        <f t="shared" si="82"/>
        <v>919280</v>
      </c>
      <c r="Y107" s="38"/>
      <c r="Z107" s="45"/>
      <c r="AA107" s="46">
        <f t="shared" si="64"/>
        <v>919280</v>
      </c>
      <c r="AB107" s="41">
        <f t="shared" si="96"/>
        <v>0</v>
      </c>
      <c r="AC107" s="41">
        <f t="shared" si="96"/>
        <v>72861.003496535108</v>
      </c>
      <c r="AD107" s="47">
        <f t="shared" si="96"/>
        <v>0</v>
      </c>
      <c r="AE107" s="47">
        <f t="shared" si="65"/>
        <v>0</v>
      </c>
      <c r="AF107" s="92">
        <f t="shared" si="83"/>
        <v>72861.003496535108</v>
      </c>
      <c r="AG107" s="82">
        <f>IF($A107=AI$20,'Construction Costs_2022'!$K$84+'Construction Costs_2022'!$K$7,0)</f>
        <v>0</v>
      </c>
      <c r="AH107" s="38">
        <f t="shared" si="84"/>
        <v>876260</v>
      </c>
      <c r="AI107" s="38"/>
      <c r="AJ107" s="45"/>
      <c r="AK107" s="46">
        <f t="shared" si="56"/>
        <v>876260</v>
      </c>
      <c r="AL107" s="41">
        <f t="shared" si="66"/>
        <v>0</v>
      </c>
      <c r="AM107" s="41">
        <f t="shared" si="67"/>
        <v>69451.291145106879</v>
      </c>
      <c r="AN107" s="47">
        <f t="shared" si="68"/>
        <v>0</v>
      </c>
      <c r="AO107" s="47">
        <f t="shared" si="69"/>
        <v>0</v>
      </c>
      <c r="AP107" s="92">
        <f t="shared" si="85"/>
        <v>69451.291145106879</v>
      </c>
      <c r="AQ107" s="82">
        <f>IF($A107=AS$20,'Construction Costs_2022'!$K$104+'Construction Costs_2022'!$K$7,0)</f>
        <v>0</v>
      </c>
      <c r="AR107" s="38">
        <f t="shared" si="86"/>
        <v>1005320</v>
      </c>
      <c r="AS107" s="38"/>
      <c r="AT107" s="45"/>
      <c r="AU107" s="46">
        <f t="shared" si="57"/>
        <v>1005320</v>
      </c>
      <c r="AV107" s="41">
        <f t="shared" si="70"/>
        <v>0</v>
      </c>
      <c r="AW107" s="41">
        <f t="shared" si="71"/>
        <v>79680.428199391565</v>
      </c>
      <c r="AX107" s="47">
        <f t="shared" si="72"/>
        <v>0</v>
      </c>
      <c r="AY107" s="47">
        <f t="shared" si="73"/>
        <v>0</v>
      </c>
      <c r="AZ107" s="92">
        <f t="shared" si="87"/>
        <v>79680.428199391565</v>
      </c>
      <c r="BA107" s="82">
        <f>IF($A107=BC$20,'Construction Costs_2022'!$K$104+'Construction Costs_2022'!$K$7,0)</f>
        <v>0</v>
      </c>
      <c r="BB107" s="38">
        <f t="shared" si="88"/>
        <v>201530</v>
      </c>
      <c r="BC107" s="38"/>
      <c r="BD107" s="45"/>
      <c r="BE107" s="46">
        <f t="shared" si="91"/>
        <v>201530</v>
      </c>
      <c r="BF107" s="41">
        <f t="shared" si="74"/>
        <v>0</v>
      </c>
      <c r="BG107" s="41">
        <f t="shared" si="75"/>
        <v>15973.020227413541</v>
      </c>
      <c r="BH107" s="47">
        <f t="shared" si="76"/>
        <v>0</v>
      </c>
      <c r="BI107" s="47">
        <f t="shared" si="77"/>
        <v>0</v>
      </c>
      <c r="BJ107" s="92">
        <f t="shared" si="89"/>
        <v>15973.020227413541</v>
      </c>
    </row>
    <row r="108" spans="1:62" s="3" customFormat="1" ht="12.75" x14ac:dyDescent="0.2">
      <c r="A108" s="12">
        <f t="shared" si="78"/>
        <v>83</v>
      </c>
      <c r="B108" s="13">
        <f t="shared" si="93"/>
        <v>7.7325630765684189E-2</v>
      </c>
      <c r="C108" s="82">
        <f>IF($A108=E$20,'Construction Costs_2022'!$K$22+'Construction Costs_2022'!$K$7,0)</f>
        <v>0</v>
      </c>
      <c r="D108" s="38">
        <f t="shared" si="90"/>
        <v>28800</v>
      </c>
      <c r="E108" s="38"/>
      <c r="F108" s="45"/>
      <c r="G108" s="46">
        <f t="shared" si="60"/>
        <v>28800</v>
      </c>
      <c r="H108" s="41">
        <f t="shared" si="61"/>
        <v>0</v>
      </c>
      <c r="I108" s="41">
        <f t="shared" si="61"/>
        <v>2226.9781660517046</v>
      </c>
      <c r="J108" s="47">
        <f t="shared" si="61"/>
        <v>0</v>
      </c>
      <c r="K108" s="47">
        <f t="shared" si="61"/>
        <v>0</v>
      </c>
      <c r="L108" s="92">
        <f t="shared" si="79"/>
        <v>2226.9781660517046</v>
      </c>
      <c r="M108" s="91">
        <f>IF($A108=O$20,'Construction Costs_2022'!$K$43+'Construction Costs_2022'!$K$7,0)</f>
        <v>0</v>
      </c>
      <c r="N108" s="38">
        <f t="shared" si="80"/>
        <v>43200</v>
      </c>
      <c r="O108" s="38"/>
      <c r="P108" s="45"/>
      <c r="Q108" s="46">
        <f t="shared" si="62"/>
        <v>43200</v>
      </c>
      <c r="R108" s="41">
        <f t="shared" si="95"/>
        <v>0</v>
      </c>
      <c r="S108" s="41">
        <f t="shared" si="92"/>
        <v>3340.467249077557</v>
      </c>
      <c r="T108" s="47">
        <f t="shared" si="94"/>
        <v>0</v>
      </c>
      <c r="U108" s="47">
        <f t="shared" si="63"/>
        <v>0</v>
      </c>
      <c r="V108" s="92">
        <f t="shared" si="81"/>
        <v>3340.467249077557</v>
      </c>
      <c r="W108" s="82">
        <f>IF($A108=Y$20,'Construction Costs_2022'!$K$64+'Construction Costs_2022'!$K$7,0)</f>
        <v>0</v>
      </c>
      <c r="X108" s="38">
        <f t="shared" si="82"/>
        <v>0</v>
      </c>
      <c r="Y108" s="38"/>
      <c r="Z108" s="45"/>
      <c r="AA108" s="46">
        <f t="shared" si="64"/>
        <v>0</v>
      </c>
      <c r="AB108" s="41">
        <f t="shared" si="96"/>
        <v>0</v>
      </c>
      <c r="AC108" s="41">
        <f t="shared" si="96"/>
        <v>0</v>
      </c>
      <c r="AD108" s="47">
        <f t="shared" si="96"/>
        <v>0</v>
      </c>
      <c r="AE108" s="47">
        <f t="shared" si="65"/>
        <v>0</v>
      </c>
      <c r="AF108" s="92">
        <f t="shared" si="83"/>
        <v>0</v>
      </c>
      <c r="AG108" s="82">
        <f>IF($A108=AI$20,'Construction Costs_2022'!$K$84+'Construction Costs_2022'!$K$7,0)</f>
        <v>0</v>
      </c>
      <c r="AH108" s="38">
        <f t="shared" si="84"/>
        <v>0</v>
      </c>
      <c r="AI108" s="38"/>
      <c r="AJ108" s="45"/>
      <c r="AK108" s="46">
        <f t="shared" si="56"/>
        <v>0</v>
      </c>
      <c r="AL108" s="41">
        <f t="shared" si="66"/>
        <v>0</v>
      </c>
      <c r="AM108" s="41">
        <f t="shared" si="67"/>
        <v>0</v>
      </c>
      <c r="AN108" s="47">
        <f t="shared" si="68"/>
        <v>0</v>
      </c>
      <c r="AO108" s="47">
        <f t="shared" si="69"/>
        <v>0</v>
      </c>
      <c r="AP108" s="92">
        <f t="shared" si="85"/>
        <v>0</v>
      </c>
      <c r="AQ108" s="82">
        <f>IF($A108=AS$20,'Construction Costs_2022'!$K$104+'Construction Costs_2022'!$K$7,0)</f>
        <v>0</v>
      </c>
      <c r="AR108" s="38">
        <f t="shared" si="86"/>
        <v>0</v>
      </c>
      <c r="AS108" s="38"/>
      <c r="AT108" s="45"/>
      <c r="AU108" s="46">
        <f t="shared" si="57"/>
        <v>0</v>
      </c>
      <c r="AV108" s="41">
        <f t="shared" si="70"/>
        <v>0</v>
      </c>
      <c r="AW108" s="41">
        <f t="shared" si="71"/>
        <v>0</v>
      </c>
      <c r="AX108" s="47">
        <f t="shared" si="72"/>
        <v>0</v>
      </c>
      <c r="AY108" s="47">
        <f t="shared" si="73"/>
        <v>0</v>
      </c>
      <c r="AZ108" s="92">
        <f t="shared" si="87"/>
        <v>0</v>
      </c>
      <c r="BA108" s="82">
        <f>IF($A108=BC$20,'Construction Costs_2022'!$K$104+'Construction Costs_2022'!$K$7,0)</f>
        <v>0</v>
      </c>
      <c r="BB108" s="38">
        <f t="shared" si="88"/>
        <v>0</v>
      </c>
      <c r="BC108" s="38"/>
      <c r="BD108" s="45"/>
      <c r="BE108" s="46">
        <f t="shared" si="91"/>
        <v>0</v>
      </c>
      <c r="BF108" s="41">
        <f t="shared" si="74"/>
        <v>0</v>
      </c>
      <c r="BG108" s="41">
        <f t="shared" si="75"/>
        <v>0</v>
      </c>
      <c r="BH108" s="47">
        <f t="shared" si="76"/>
        <v>0</v>
      </c>
      <c r="BI108" s="47">
        <f t="shared" si="77"/>
        <v>0</v>
      </c>
      <c r="BJ108" s="92">
        <f t="shared" si="89"/>
        <v>0</v>
      </c>
    </row>
    <row r="109" spans="1:62" s="3" customFormat="1" ht="12.75" x14ac:dyDescent="0.2">
      <c r="A109" s="12">
        <f t="shared" si="78"/>
        <v>84</v>
      </c>
      <c r="B109" s="13">
        <f t="shared" si="93"/>
        <v>7.5439639771399211E-2</v>
      </c>
      <c r="C109" s="82">
        <f>IF($A109=E$20,'Construction Costs_2022'!$K$22+'Construction Costs_2022'!$K$7,0)</f>
        <v>0</v>
      </c>
      <c r="D109" s="38">
        <f t="shared" si="90"/>
        <v>28800</v>
      </c>
      <c r="E109" s="38"/>
      <c r="F109" s="45"/>
      <c r="G109" s="46">
        <f t="shared" si="60"/>
        <v>28800</v>
      </c>
      <c r="H109" s="41">
        <f t="shared" si="61"/>
        <v>0</v>
      </c>
      <c r="I109" s="41">
        <f t="shared" si="61"/>
        <v>2172.6616254162973</v>
      </c>
      <c r="J109" s="47">
        <f t="shared" si="61"/>
        <v>0</v>
      </c>
      <c r="K109" s="47">
        <f t="shared" si="61"/>
        <v>0</v>
      </c>
      <c r="L109" s="92">
        <f t="shared" si="79"/>
        <v>2172.6616254162973</v>
      </c>
      <c r="M109" s="91">
        <f>IF($A109=O$20,'Construction Costs_2022'!$K$43+'Construction Costs_2022'!$K$7,0)</f>
        <v>0</v>
      </c>
      <c r="N109" s="38">
        <f t="shared" si="80"/>
        <v>43200</v>
      </c>
      <c r="O109" s="38"/>
      <c r="P109" s="45"/>
      <c r="Q109" s="46">
        <f t="shared" si="62"/>
        <v>43200</v>
      </c>
      <c r="R109" s="41">
        <f t="shared" si="95"/>
        <v>0</v>
      </c>
      <c r="S109" s="41">
        <f t="shared" si="92"/>
        <v>3258.9924381244459</v>
      </c>
      <c r="T109" s="47">
        <f t="shared" si="94"/>
        <v>0</v>
      </c>
      <c r="U109" s="47">
        <f t="shared" si="63"/>
        <v>0</v>
      </c>
      <c r="V109" s="92">
        <f t="shared" si="81"/>
        <v>3258.9924381244459</v>
      </c>
      <c r="W109" s="82">
        <f>IF($A109=Y$20,'Construction Costs_2022'!$K$64+'Construction Costs_2022'!$K$7,0)</f>
        <v>0</v>
      </c>
      <c r="X109" s="38">
        <f t="shared" si="82"/>
        <v>0</v>
      </c>
      <c r="Y109" s="38"/>
      <c r="Z109" s="45"/>
      <c r="AA109" s="46">
        <f t="shared" si="64"/>
        <v>0</v>
      </c>
      <c r="AB109" s="41">
        <f t="shared" si="96"/>
        <v>0</v>
      </c>
      <c r="AC109" s="41">
        <f t="shared" si="96"/>
        <v>0</v>
      </c>
      <c r="AD109" s="47">
        <f t="shared" si="96"/>
        <v>0</v>
      </c>
      <c r="AE109" s="47">
        <f t="shared" si="65"/>
        <v>0</v>
      </c>
      <c r="AF109" s="92">
        <f t="shared" si="83"/>
        <v>0</v>
      </c>
      <c r="AG109" s="82">
        <f>IF($A109=AI$20,'Construction Costs_2022'!$K$84+'Construction Costs_2022'!$K$7,0)</f>
        <v>0</v>
      </c>
      <c r="AH109" s="38">
        <f t="shared" si="84"/>
        <v>0</v>
      </c>
      <c r="AI109" s="38"/>
      <c r="AJ109" s="45"/>
      <c r="AK109" s="46">
        <f t="shared" si="56"/>
        <v>0</v>
      </c>
      <c r="AL109" s="41">
        <f t="shared" si="66"/>
        <v>0</v>
      </c>
      <c r="AM109" s="41">
        <f t="shared" si="67"/>
        <v>0</v>
      </c>
      <c r="AN109" s="47">
        <f t="shared" si="68"/>
        <v>0</v>
      </c>
      <c r="AO109" s="47">
        <f t="shared" si="69"/>
        <v>0</v>
      </c>
      <c r="AP109" s="92">
        <f t="shared" si="85"/>
        <v>0</v>
      </c>
      <c r="AQ109" s="82">
        <f>IF($A109=AS$20,'Construction Costs_2022'!$K$104+'Construction Costs_2022'!$K$7,0)</f>
        <v>0</v>
      </c>
      <c r="AR109" s="38">
        <f t="shared" si="86"/>
        <v>0</v>
      </c>
      <c r="AS109" s="38"/>
      <c r="AT109" s="45"/>
      <c r="AU109" s="46">
        <f t="shared" si="57"/>
        <v>0</v>
      </c>
      <c r="AV109" s="41">
        <f t="shared" si="70"/>
        <v>0</v>
      </c>
      <c r="AW109" s="41">
        <f t="shared" si="71"/>
        <v>0</v>
      </c>
      <c r="AX109" s="47">
        <f t="shared" si="72"/>
        <v>0</v>
      </c>
      <c r="AY109" s="47">
        <f t="shared" si="73"/>
        <v>0</v>
      </c>
      <c r="AZ109" s="92">
        <f t="shared" si="87"/>
        <v>0</v>
      </c>
      <c r="BA109" s="82">
        <f>IF($A109=BC$20,'Construction Costs_2022'!$K$104+'Construction Costs_2022'!$K$7,0)</f>
        <v>0</v>
      </c>
      <c r="BB109" s="38">
        <f t="shared" si="88"/>
        <v>0</v>
      </c>
      <c r="BC109" s="38"/>
      <c r="BD109" s="45"/>
      <c r="BE109" s="46">
        <f t="shared" si="91"/>
        <v>0</v>
      </c>
      <c r="BF109" s="41">
        <f t="shared" si="74"/>
        <v>0</v>
      </c>
      <c r="BG109" s="41">
        <f t="shared" si="75"/>
        <v>0</v>
      </c>
      <c r="BH109" s="47">
        <f t="shared" si="76"/>
        <v>0</v>
      </c>
      <c r="BI109" s="47">
        <f t="shared" si="77"/>
        <v>0</v>
      </c>
      <c r="BJ109" s="92">
        <f t="shared" si="89"/>
        <v>0</v>
      </c>
    </row>
    <row r="110" spans="1:62" s="3" customFormat="1" ht="12.75" x14ac:dyDescent="0.2">
      <c r="A110" s="12">
        <f t="shared" si="78"/>
        <v>85</v>
      </c>
      <c r="B110" s="13">
        <f t="shared" si="93"/>
        <v>7.3599648557462649E-2</v>
      </c>
      <c r="C110" s="82">
        <f>IF($A110=E$20,'Construction Costs_2022'!$K$22+'Construction Costs_2022'!$K$7,0)</f>
        <v>0</v>
      </c>
      <c r="D110" s="38">
        <f t="shared" si="90"/>
        <v>28800</v>
      </c>
      <c r="E110" s="38"/>
      <c r="F110" s="45"/>
      <c r="G110" s="46">
        <f t="shared" si="60"/>
        <v>28800</v>
      </c>
      <c r="H110" s="41">
        <f t="shared" si="61"/>
        <v>0</v>
      </c>
      <c r="I110" s="41">
        <f t="shared" si="61"/>
        <v>2119.6698784549244</v>
      </c>
      <c r="J110" s="47">
        <f t="shared" si="61"/>
        <v>0</v>
      </c>
      <c r="K110" s="47">
        <f t="shared" si="61"/>
        <v>0</v>
      </c>
      <c r="L110" s="92">
        <f t="shared" si="79"/>
        <v>2119.6698784549244</v>
      </c>
      <c r="M110" s="91">
        <f>IF($A110=O$20,'Construction Costs_2022'!$K$43+'Construction Costs_2022'!$K$7,0)</f>
        <v>0</v>
      </c>
      <c r="N110" s="38">
        <f t="shared" si="80"/>
        <v>43200</v>
      </c>
      <c r="O110" s="38"/>
      <c r="P110" s="45"/>
      <c r="Q110" s="46">
        <f t="shared" si="62"/>
        <v>43200</v>
      </c>
      <c r="R110" s="41">
        <f t="shared" si="95"/>
        <v>0</v>
      </c>
      <c r="S110" s="41">
        <f t="shared" si="92"/>
        <v>3179.5048176823866</v>
      </c>
      <c r="T110" s="47">
        <f t="shared" si="94"/>
        <v>0</v>
      </c>
      <c r="U110" s="47">
        <f t="shared" si="63"/>
        <v>0</v>
      </c>
      <c r="V110" s="92">
        <f t="shared" si="81"/>
        <v>3179.5048176823866</v>
      </c>
      <c r="W110" s="82">
        <f>IF($A110=Y$20,'Construction Costs_2022'!$K$64+'Construction Costs_2022'!$K$7,0)</f>
        <v>0</v>
      </c>
      <c r="X110" s="38">
        <f t="shared" si="82"/>
        <v>0</v>
      </c>
      <c r="Y110" s="38"/>
      <c r="Z110" s="45"/>
      <c r="AA110" s="46">
        <f t="shared" si="64"/>
        <v>0</v>
      </c>
      <c r="AB110" s="41">
        <f t="shared" si="96"/>
        <v>0</v>
      </c>
      <c r="AC110" s="41">
        <f t="shared" si="96"/>
        <v>0</v>
      </c>
      <c r="AD110" s="47">
        <f t="shared" si="96"/>
        <v>0</v>
      </c>
      <c r="AE110" s="47">
        <f t="shared" si="65"/>
        <v>0</v>
      </c>
      <c r="AF110" s="92">
        <f t="shared" si="83"/>
        <v>0</v>
      </c>
      <c r="AG110" s="82">
        <f>IF($A110=AI$20,'Construction Costs_2022'!$K$84+'Construction Costs_2022'!$K$7,0)</f>
        <v>0</v>
      </c>
      <c r="AH110" s="38">
        <f t="shared" si="84"/>
        <v>0</v>
      </c>
      <c r="AI110" s="38"/>
      <c r="AJ110" s="45"/>
      <c r="AK110" s="46">
        <f t="shared" si="56"/>
        <v>0</v>
      </c>
      <c r="AL110" s="41">
        <f t="shared" si="66"/>
        <v>0</v>
      </c>
      <c r="AM110" s="41">
        <f t="shared" si="67"/>
        <v>0</v>
      </c>
      <c r="AN110" s="47">
        <f t="shared" si="68"/>
        <v>0</v>
      </c>
      <c r="AO110" s="47">
        <f t="shared" si="69"/>
        <v>0</v>
      </c>
      <c r="AP110" s="92">
        <f t="shared" si="85"/>
        <v>0</v>
      </c>
      <c r="AQ110" s="82">
        <f>IF($A110=AS$20,'Construction Costs_2022'!$K$104+'Construction Costs_2022'!$K$7,0)</f>
        <v>0</v>
      </c>
      <c r="AR110" s="38">
        <f t="shared" si="86"/>
        <v>0</v>
      </c>
      <c r="AS110" s="38"/>
      <c r="AT110" s="45"/>
      <c r="AU110" s="46">
        <f t="shared" si="57"/>
        <v>0</v>
      </c>
      <c r="AV110" s="41">
        <f t="shared" si="70"/>
        <v>0</v>
      </c>
      <c r="AW110" s="41">
        <f t="shared" si="71"/>
        <v>0</v>
      </c>
      <c r="AX110" s="47">
        <f t="shared" si="72"/>
        <v>0</v>
      </c>
      <c r="AY110" s="47">
        <f t="shared" si="73"/>
        <v>0</v>
      </c>
      <c r="AZ110" s="92">
        <f t="shared" si="87"/>
        <v>0</v>
      </c>
      <c r="BA110" s="82">
        <f>IF($A110=BC$20,'Construction Costs_2022'!$K$104+'Construction Costs_2022'!$K$7,0)</f>
        <v>0</v>
      </c>
      <c r="BB110" s="38">
        <f t="shared" si="88"/>
        <v>0</v>
      </c>
      <c r="BC110" s="38"/>
      <c r="BD110" s="45"/>
      <c r="BE110" s="46">
        <f t="shared" si="91"/>
        <v>0</v>
      </c>
      <c r="BF110" s="41">
        <f t="shared" si="74"/>
        <v>0</v>
      </c>
      <c r="BG110" s="41">
        <f t="shared" si="75"/>
        <v>0</v>
      </c>
      <c r="BH110" s="47">
        <f t="shared" si="76"/>
        <v>0</v>
      </c>
      <c r="BI110" s="47">
        <f t="shared" si="77"/>
        <v>0</v>
      </c>
      <c r="BJ110" s="92">
        <f t="shared" si="89"/>
        <v>0</v>
      </c>
    </row>
    <row r="111" spans="1:62" s="3" customFormat="1" ht="12.75" x14ac:dyDescent="0.2">
      <c r="A111" s="12">
        <f t="shared" si="78"/>
        <v>86</v>
      </c>
      <c r="B111" s="13">
        <f t="shared" si="93"/>
        <v>7.1804535178012344E-2</v>
      </c>
      <c r="C111" s="82">
        <f>IF($A111=E$20,'Construction Costs_2022'!$K$22+'Construction Costs_2022'!$K$7,0)</f>
        <v>0</v>
      </c>
      <c r="D111" s="38">
        <f t="shared" si="90"/>
        <v>28800</v>
      </c>
      <c r="E111" s="38"/>
      <c r="F111" s="45"/>
      <c r="G111" s="46">
        <f t="shared" si="60"/>
        <v>28800</v>
      </c>
      <c r="H111" s="41">
        <f t="shared" si="61"/>
        <v>0</v>
      </c>
      <c r="I111" s="41">
        <f t="shared" si="61"/>
        <v>2067.9706131267553</v>
      </c>
      <c r="J111" s="47">
        <f t="shared" si="61"/>
        <v>0</v>
      </c>
      <c r="K111" s="47">
        <f t="shared" si="61"/>
        <v>0</v>
      </c>
      <c r="L111" s="92">
        <f t="shared" si="79"/>
        <v>2067.9706131267553</v>
      </c>
      <c r="M111" s="91">
        <f>IF($A111=O$20,'Construction Costs_2022'!$K$43+'Construction Costs_2022'!$K$7,0)</f>
        <v>0</v>
      </c>
      <c r="N111" s="38">
        <f t="shared" si="80"/>
        <v>43200</v>
      </c>
      <c r="O111" s="38"/>
      <c r="P111" s="45"/>
      <c r="Q111" s="46">
        <f t="shared" si="62"/>
        <v>43200</v>
      </c>
      <c r="R111" s="41">
        <f t="shared" si="95"/>
        <v>0</v>
      </c>
      <c r="S111" s="41">
        <f t="shared" si="92"/>
        <v>3101.9559196901332</v>
      </c>
      <c r="T111" s="47">
        <f t="shared" si="94"/>
        <v>0</v>
      </c>
      <c r="U111" s="47">
        <f t="shared" si="63"/>
        <v>0</v>
      </c>
      <c r="V111" s="92">
        <f t="shared" si="81"/>
        <v>3101.9559196901332</v>
      </c>
      <c r="W111" s="82">
        <f>IF($A111=Y$20,'Construction Costs_2022'!$K$64+'Construction Costs_2022'!$K$7,0)</f>
        <v>0</v>
      </c>
      <c r="X111" s="38">
        <f t="shared" si="82"/>
        <v>0</v>
      </c>
      <c r="Y111" s="38"/>
      <c r="Z111" s="45"/>
      <c r="AA111" s="46">
        <f t="shared" si="64"/>
        <v>0</v>
      </c>
      <c r="AB111" s="41">
        <f t="shared" si="96"/>
        <v>0</v>
      </c>
      <c r="AC111" s="41">
        <f t="shared" si="96"/>
        <v>0</v>
      </c>
      <c r="AD111" s="47">
        <f t="shared" si="96"/>
        <v>0</v>
      </c>
      <c r="AE111" s="47">
        <f t="shared" si="65"/>
        <v>0</v>
      </c>
      <c r="AF111" s="92">
        <f t="shared" si="83"/>
        <v>0</v>
      </c>
      <c r="AG111" s="82">
        <f>IF($A111=AI$20,'Construction Costs_2022'!$K$84+'Construction Costs_2022'!$K$7,0)</f>
        <v>0</v>
      </c>
      <c r="AH111" s="38">
        <f t="shared" si="84"/>
        <v>0</v>
      </c>
      <c r="AI111" s="38"/>
      <c r="AJ111" s="45"/>
      <c r="AK111" s="46">
        <f t="shared" si="56"/>
        <v>0</v>
      </c>
      <c r="AL111" s="41">
        <f t="shared" si="66"/>
        <v>0</v>
      </c>
      <c r="AM111" s="41">
        <f t="shared" si="67"/>
        <v>0</v>
      </c>
      <c r="AN111" s="47">
        <f t="shared" si="68"/>
        <v>0</v>
      </c>
      <c r="AO111" s="47">
        <f t="shared" si="69"/>
        <v>0</v>
      </c>
      <c r="AP111" s="92">
        <f t="shared" si="85"/>
        <v>0</v>
      </c>
      <c r="AQ111" s="82">
        <f>IF($A111=AS$20,'Construction Costs_2022'!$K$104+'Construction Costs_2022'!$K$7,0)</f>
        <v>0</v>
      </c>
      <c r="AR111" s="38">
        <f t="shared" si="86"/>
        <v>0</v>
      </c>
      <c r="AS111" s="38"/>
      <c r="AT111" s="45"/>
      <c r="AU111" s="46">
        <f t="shared" si="57"/>
        <v>0</v>
      </c>
      <c r="AV111" s="41">
        <f t="shared" si="70"/>
        <v>0</v>
      </c>
      <c r="AW111" s="41">
        <f t="shared" si="71"/>
        <v>0</v>
      </c>
      <c r="AX111" s="47">
        <f t="shared" si="72"/>
        <v>0</v>
      </c>
      <c r="AY111" s="47">
        <f t="shared" si="73"/>
        <v>0</v>
      </c>
      <c r="AZ111" s="92">
        <f t="shared" si="87"/>
        <v>0</v>
      </c>
      <c r="BA111" s="82">
        <f>IF($A111=BC$20,'Construction Costs_2022'!$K$104+'Construction Costs_2022'!$K$7,0)</f>
        <v>0</v>
      </c>
      <c r="BB111" s="38">
        <f t="shared" si="88"/>
        <v>0</v>
      </c>
      <c r="BC111" s="38"/>
      <c r="BD111" s="45"/>
      <c r="BE111" s="46">
        <f t="shared" si="91"/>
        <v>0</v>
      </c>
      <c r="BF111" s="41">
        <f t="shared" si="74"/>
        <v>0</v>
      </c>
      <c r="BG111" s="41">
        <f t="shared" si="75"/>
        <v>0</v>
      </c>
      <c r="BH111" s="47">
        <f t="shared" si="76"/>
        <v>0</v>
      </c>
      <c r="BI111" s="47">
        <f t="shared" si="77"/>
        <v>0</v>
      </c>
      <c r="BJ111" s="92">
        <f t="shared" si="89"/>
        <v>0</v>
      </c>
    </row>
    <row r="112" spans="1:62" s="3" customFormat="1" ht="12.75" x14ac:dyDescent="0.2">
      <c r="A112" s="12">
        <f t="shared" si="78"/>
        <v>87</v>
      </c>
      <c r="B112" s="13">
        <f t="shared" si="93"/>
        <v>7.0053205051719372E-2</v>
      </c>
      <c r="C112" s="82">
        <f>IF($A112=E$20,'Construction Costs_2022'!$K$22+'Construction Costs_2022'!$K$7,0)</f>
        <v>0</v>
      </c>
      <c r="D112" s="38">
        <f t="shared" si="90"/>
        <v>28800</v>
      </c>
      <c r="E112" s="38"/>
      <c r="F112" s="45"/>
      <c r="G112" s="46">
        <f t="shared" si="60"/>
        <v>28800</v>
      </c>
      <c r="H112" s="41">
        <f t="shared" si="61"/>
        <v>0</v>
      </c>
      <c r="I112" s="41">
        <f t="shared" si="61"/>
        <v>2017.532305489518</v>
      </c>
      <c r="J112" s="47">
        <f t="shared" si="61"/>
        <v>0</v>
      </c>
      <c r="K112" s="47">
        <f t="shared" si="61"/>
        <v>0</v>
      </c>
      <c r="L112" s="92">
        <f t="shared" si="79"/>
        <v>2017.532305489518</v>
      </c>
      <c r="M112" s="91">
        <f>IF($A112=O$20,'Construction Costs_2022'!$K$43+'Construction Costs_2022'!$K$7,0)</f>
        <v>0</v>
      </c>
      <c r="N112" s="38">
        <f t="shared" si="80"/>
        <v>43200</v>
      </c>
      <c r="O112" s="38"/>
      <c r="P112" s="45"/>
      <c r="Q112" s="46">
        <f t="shared" si="62"/>
        <v>43200</v>
      </c>
      <c r="R112" s="41">
        <f t="shared" si="95"/>
        <v>0</v>
      </c>
      <c r="S112" s="41">
        <f t="shared" si="92"/>
        <v>3026.2984582342769</v>
      </c>
      <c r="T112" s="47">
        <f t="shared" si="94"/>
        <v>0</v>
      </c>
      <c r="U112" s="47">
        <f t="shared" si="63"/>
        <v>0</v>
      </c>
      <c r="V112" s="92">
        <f t="shared" si="81"/>
        <v>3026.2984582342769</v>
      </c>
      <c r="W112" s="82">
        <f>IF($A112=Y$20,'Construction Costs_2022'!$K$64+'Construction Costs_2022'!$K$7,0)</f>
        <v>0</v>
      </c>
      <c r="X112" s="38">
        <f t="shared" si="82"/>
        <v>86400</v>
      </c>
      <c r="Y112" s="38"/>
      <c r="Z112" s="45"/>
      <c r="AA112" s="46">
        <f t="shared" si="64"/>
        <v>86400</v>
      </c>
      <c r="AB112" s="41">
        <f t="shared" si="96"/>
        <v>0</v>
      </c>
      <c r="AC112" s="41">
        <f t="shared" si="96"/>
        <v>6052.5969164685539</v>
      </c>
      <c r="AD112" s="47">
        <f t="shared" si="96"/>
        <v>0</v>
      </c>
      <c r="AE112" s="47">
        <f t="shared" si="65"/>
        <v>0</v>
      </c>
      <c r="AF112" s="92">
        <f t="shared" si="83"/>
        <v>6052.5969164685539</v>
      </c>
      <c r="AG112" s="82">
        <f>IF($A112=AI$20,'Construction Costs_2022'!$K$84+'Construction Costs_2022'!$K$7,0)</f>
        <v>0</v>
      </c>
      <c r="AH112" s="38">
        <f t="shared" si="84"/>
        <v>100800</v>
      </c>
      <c r="AI112" s="38"/>
      <c r="AJ112" s="45"/>
      <c r="AK112" s="46">
        <f t="shared" si="56"/>
        <v>100800</v>
      </c>
      <c r="AL112" s="41">
        <f t="shared" si="66"/>
        <v>0</v>
      </c>
      <c r="AM112" s="41">
        <f t="shared" si="67"/>
        <v>7061.3630692133129</v>
      </c>
      <c r="AN112" s="47">
        <f t="shared" si="68"/>
        <v>0</v>
      </c>
      <c r="AO112" s="47">
        <f t="shared" si="69"/>
        <v>0</v>
      </c>
      <c r="AP112" s="92">
        <f t="shared" si="85"/>
        <v>7061.3630692133129</v>
      </c>
      <c r="AQ112" s="82">
        <f>IF($A112=AS$20,'Construction Costs_2022'!$K$104+'Construction Costs_2022'!$K$7,0)</f>
        <v>0</v>
      </c>
      <c r="AR112" s="38">
        <f t="shared" si="86"/>
        <v>57600</v>
      </c>
      <c r="AS112" s="38"/>
      <c r="AT112" s="45"/>
      <c r="AU112" s="46">
        <f t="shared" si="57"/>
        <v>57600</v>
      </c>
      <c r="AV112" s="41">
        <f t="shared" si="70"/>
        <v>0</v>
      </c>
      <c r="AW112" s="41">
        <f t="shared" si="71"/>
        <v>4035.0646109790359</v>
      </c>
      <c r="AX112" s="47">
        <f t="shared" si="72"/>
        <v>0</v>
      </c>
      <c r="AY112" s="47">
        <f t="shared" si="73"/>
        <v>0</v>
      </c>
      <c r="AZ112" s="92">
        <f t="shared" si="87"/>
        <v>4035.0646109790359</v>
      </c>
      <c r="BA112" s="82">
        <f>IF($A112=BC$20,'Construction Costs_2022'!$K$104+'Construction Costs_2022'!$K$7,0)</f>
        <v>0</v>
      </c>
      <c r="BB112" s="38">
        <f t="shared" si="88"/>
        <v>86400</v>
      </c>
      <c r="BC112" s="38"/>
      <c r="BD112" s="45"/>
      <c r="BE112" s="46">
        <f t="shared" si="91"/>
        <v>86400</v>
      </c>
      <c r="BF112" s="41">
        <f t="shared" si="74"/>
        <v>0</v>
      </c>
      <c r="BG112" s="41">
        <f t="shared" si="75"/>
        <v>6052.5969164685539</v>
      </c>
      <c r="BH112" s="47">
        <f t="shared" si="76"/>
        <v>0</v>
      </c>
      <c r="BI112" s="47">
        <f t="shared" si="77"/>
        <v>0</v>
      </c>
      <c r="BJ112" s="92">
        <f t="shared" si="89"/>
        <v>6052.5969164685539</v>
      </c>
    </row>
    <row r="113" spans="1:62" s="3" customFormat="1" ht="12.75" x14ac:dyDescent="0.2">
      <c r="A113" s="12">
        <f t="shared" si="78"/>
        <v>88</v>
      </c>
      <c r="B113" s="13">
        <f t="shared" si="93"/>
        <v>6.8344590294360366E-2</v>
      </c>
      <c r="C113" s="82">
        <f>IF($A113=E$20,'Construction Costs_2022'!$K$22+'Construction Costs_2022'!$K$7,0)</f>
        <v>0</v>
      </c>
      <c r="D113" s="38">
        <f t="shared" si="90"/>
        <v>28800</v>
      </c>
      <c r="E113" s="38"/>
      <c r="F113" s="45"/>
      <c r="G113" s="46">
        <f t="shared" si="60"/>
        <v>28800</v>
      </c>
      <c r="H113" s="41">
        <f t="shared" si="61"/>
        <v>0</v>
      </c>
      <c r="I113" s="41">
        <f t="shared" si="61"/>
        <v>1968.3242004775786</v>
      </c>
      <c r="J113" s="47">
        <f t="shared" si="61"/>
        <v>0</v>
      </c>
      <c r="K113" s="47">
        <f t="shared" si="61"/>
        <v>0</v>
      </c>
      <c r="L113" s="92">
        <f t="shared" si="79"/>
        <v>1968.3242004775786</v>
      </c>
      <c r="M113" s="91">
        <f>IF($A113=O$20,'Construction Costs_2022'!$K$43+'Construction Costs_2022'!$K$7,0)</f>
        <v>0</v>
      </c>
      <c r="N113" s="38">
        <f t="shared" si="80"/>
        <v>43200</v>
      </c>
      <c r="O113" s="38"/>
      <c r="P113" s="45"/>
      <c r="Q113" s="46">
        <f t="shared" si="62"/>
        <v>43200</v>
      </c>
      <c r="R113" s="41">
        <f t="shared" si="95"/>
        <v>0</v>
      </c>
      <c r="S113" s="41">
        <f t="shared" si="92"/>
        <v>2952.4863007163676</v>
      </c>
      <c r="T113" s="47">
        <f t="shared" si="94"/>
        <v>0</v>
      </c>
      <c r="U113" s="47">
        <f t="shared" si="63"/>
        <v>0</v>
      </c>
      <c r="V113" s="92">
        <f t="shared" si="81"/>
        <v>2952.4863007163676</v>
      </c>
      <c r="W113" s="82">
        <f>IF($A113=Y$20,'Construction Costs_2022'!$K$64+'Construction Costs_2022'!$K$7,0)</f>
        <v>0</v>
      </c>
      <c r="X113" s="38">
        <f t="shared" si="82"/>
        <v>0</v>
      </c>
      <c r="Y113" s="38"/>
      <c r="Z113" s="45"/>
      <c r="AA113" s="46">
        <f t="shared" si="64"/>
        <v>0</v>
      </c>
      <c r="AB113" s="41">
        <f t="shared" si="96"/>
        <v>0</v>
      </c>
      <c r="AC113" s="41">
        <f t="shared" si="96"/>
        <v>0</v>
      </c>
      <c r="AD113" s="47">
        <f t="shared" si="96"/>
        <v>0</v>
      </c>
      <c r="AE113" s="47">
        <f t="shared" si="65"/>
        <v>0</v>
      </c>
      <c r="AF113" s="92">
        <f t="shared" si="83"/>
        <v>0</v>
      </c>
      <c r="AG113" s="82">
        <f>IF($A113=AI$20,'Construction Costs_2022'!$K$84+'Construction Costs_2022'!$K$7,0)</f>
        <v>0</v>
      </c>
      <c r="AH113" s="38">
        <f t="shared" si="84"/>
        <v>0</v>
      </c>
      <c r="AI113" s="38"/>
      <c r="AJ113" s="45"/>
      <c r="AK113" s="46">
        <f t="shared" si="56"/>
        <v>0</v>
      </c>
      <c r="AL113" s="41">
        <f t="shared" si="66"/>
        <v>0</v>
      </c>
      <c r="AM113" s="41">
        <f t="shared" si="67"/>
        <v>0</v>
      </c>
      <c r="AN113" s="47">
        <f t="shared" si="68"/>
        <v>0</v>
      </c>
      <c r="AO113" s="47">
        <f t="shared" si="69"/>
        <v>0</v>
      </c>
      <c r="AP113" s="92">
        <f t="shared" si="85"/>
        <v>0</v>
      </c>
      <c r="AQ113" s="82">
        <f>IF($A113=AS$20,'Construction Costs_2022'!$K$104+'Construction Costs_2022'!$K$7,0)</f>
        <v>0</v>
      </c>
      <c r="AR113" s="38">
        <f t="shared" si="86"/>
        <v>0</v>
      </c>
      <c r="AS113" s="38"/>
      <c r="AT113" s="45"/>
      <c r="AU113" s="46">
        <f t="shared" si="57"/>
        <v>0</v>
      </c>
      <c r="AV113" s="41">
        <f t="shared" si="70"/>
        <v>0</v>
      </c>
      <c r="AW113" s="41">
        <f t="shared" si="71"/>
        <v>0</v>
      </c>
      <c r="AX113" s="47">
        <f t="shared" si="72"/>
        <v>0</v>
      </c>
      <c r="AY113" s="47">
        <f t="shared" si="73"/>
        <v>0</v>
      </c>
      <c r="AZ113" s="92">
        <f t="shared" si="87"/>
        <v>0</v>
      </c>
      <c r="BA113" s="82">
        <f>IF($A113=BC$20,'Construction Costs_2022'!$K$104+'Construction Costs_2022'!$K$7,0)</f>
        <v>0</v>
      </c>
      <c r="BB113" s="38">
        <f t="shared" si="88"/>
        <v>0</v>
      </c>
      <c r="BC113" s="38"/>
      <c r="BD113" s="45"/>
      <c r="BE113" s="46">
        <f t="shared" si="91"/>
        <v>0</v>
      </c>
      <c r="BF113" s="41">
        <f t="shared" si="74"/>
        <v>0</v>
      </c>
      <c r="BG113" s="41">
        <f t="shared" si="75"/>
        <v>0</v>
      </c>
      <c r="BH113" s="47">
        <f t="shared" si="76"/>
        <v>0</v>
      </c>
      <c r="BI113" s="47">
        <f t="shared" si="77"/>
        <v>0</v>
      </c>
      <c r="BJ113" s="92">
        <f t="shared" si="89"/>
        <v>0</v>
      </c>
    </row>
    <row r="114" spans="1:62" s="3" customFormat="1" ht="12.75" x14ac:dyDescent="0.2">
      <c r="A114" s="12">
        <f t="shared" si="78"/>
        <v>89</v>
      </c>
      <c r="B114" s="13">
        <f t="shared" si="93"/>
        <v>6.6677649067668654E-2</v>
      </c>
      <c r="C114" s="82">
        <f>IF($A114=E$20,'Construction Costs_2022'!$K$22+'Construction Costs_2022'!$K$7,0)</f>
        <v>0</v>
      </c>
      <c r="D114" s="38">
        <f t="shared" si="90"/>
        <v>28800</v>
      </c>
      <c r="E114" s="38"/>
      <c r="F114" s="45"/>
      <c r="G114" s="46">
        <f t="shared" si="60"/>
        <v>28800</v>
      </c>
      <c r="H114" s="41">
        <f t="shared" si="61"/>
        <v>0</v>
      </c>
      <c r="I114" s="41">
        <f t="shared" si="61"/>
        <v>1920.3162931488573</v>
      </c>
      <c r="J114" s="47">
        <f t="shared" si="61"/>
        <v>0</v>
      </c>
      <c r="K114" s="47">
        <f t="shared" si="61"/>
        <v>0</v>
      </c>
      <c r="L114" s="92">
        <f t="shared" si="79"/>
        <v>1920.3162931488573</v>
      </c>
      <c r="M114" s="91">
        <f>IF($A114=O$20,'Construction Costs_2022'!$K$43+'Construction Costs_2022'!$K$7,0)</f>
        <v>0</v>
      </c>
      <c r="N114" s="38">
        <f t="shared" si="80"/>
        <v>43200</v>
      </c>
      <c r="O114" s="38"/>
      <c r="P114" s="45"/>
      <c r="Q114" s="46">
        <f t="shared" si="62"/>
        <v>43200</v>
      </c>
      <c r="R114" s="41">
        <f t="shared" si="95"/>
        <v>0</v>
      </c>
      <c r="S114" s="41">
        <f t="shared" si="92"/>
        <v>2880.4744397232857</v>
      </c>
      <c r="T114" s="47">
        <f t="shared" si="94"/>
        <v>0</v>
      </c>
      <c r="U114" s="47">
        <f t="shared" si="63"/>
        <v>0</v>
      </c>
      <c r="V114" s="92">
        <f t="shared" si="81"/>
        <v>2880.4744397232857</v>
      </c>
      <c r="W114" s="82">
        <f>IF($A114=Y$20,'Construction Costs_2022'!$K$64+'Construction Costs_2022'!$K$7,0)</f>
        <v>0</v>
      </c>
      <c r="X114" s="38">
        <f t="shared" si="82"/>
        <v>0</v>
      </c>
      <c r="Y114" s="38"/>
      <c r="Z114" s="45"/>
      <c r="AA114" s="46">
        <f t="shared" si="64"/>
        <v>0</v>
      </c>
      <c r="AB114" s="41">
        <f t="shared" si="96"/>
        <v>0</v>
      </c>
      <c r="AC114" s="41">
        <f t="shared" si="96"/>
        <v>0</v>
      </c>
      <c r="AD114" s="47">
        <f t="shared" si="96"/>
        <v>0</v>
      </c>
      <c r="AE114" s="47">
        <f t="shared" si="65"/>
        <v>0</v>
      </c>
      <c r="AF114" s="92">
        <f t="shared" si="83"/>
        <v>0</v>
      </c>
      <c r="AG114" s="82">
        <f>IF($A114=AI$20,'Construction Costs_2022'!$K$84+'Construction Costs_2022'!$K$7,0)</f>
        <v>0</v>
      </c>
      <c r="AH114" s="38">
        <f t="shared" si="84"/>
        <v>0</v>
      </c>
      <c r="AI114" s="38"/>
      <c r="AJ114" s="45"/>
      <c r="AK114" s="46">
        <f t="shared" si="56"/>
        <v>0</v>
      </c>
      <c r="AL114" s="41">
        <f t="shared" si="66"/>
        <v>0</v>
      </c>
      <c r="AM114" s="41">
        <f t="shared" si="67"/>
        <v>0</v>
      </c>
      <c r="AN114" s="47">
        <f t="shared" si="68"/>
        <v>0</v>
      </c>
      <c r="AO114" s="47">
        <f t="shared" si="69"/>
        <v>0</v>
      </c>
      <c r="AP114" s="92">
        <f t="shared" si="85"/>
        <v>0</v>
      </c>
      <c r="AQ114" s="82">
        <f>IF($A114=AS$20,'Construction Costs_2022'!$K$104+'Construction Costs_2022'!$K$7,0)</f>
        <v>0</v>
      </c>
      <c r="AR114" s="38">
        <f t="shared" si="86"/>
        <v>0</v>
      </c>
      <c r="AS114" s="38"/>
      <c r="AT114" s="45"/>
      <c r="AU114" s="46">
        <f t="shared" si="57"/>
        <v>0</v>
      </c>
      <c r="AV114" s="41">
        <f t="shared" si="70"/>
        <v>0</v>
      </c>
      <c r="AW114" s="41">
        <f t="shared" si="71"/>
        <v>0</v>
      </c>
      <c r="AX114" s="47">
        <f t="shared" si="72"/>
        <v>0</v>
      </c>
      <c r="AY114" s="47">
        <f t="shared" si="73"/>
        <v>0</v>
      </c>
      <c r="AZ114" s="92">
        <f t="shared" si="87"/>
        <v>0</v>
      </c>
      <c r="BA114" s="82">
        <f>IF($A114=BC$20,'Construction Costs_2022'!$K$104+'Construction Costs_2022'!$K$7,0)</f>
        <v>0</v>
      </c>
      <c r="BB114" s="38">
        <f t="shared" si="88"/>
        <v>0</v>
      </c>
      <c r="BC114" s="38"/>
      <c r="BD114" s="45"/>
      <c r="BE114" s="46">
        <f t="shared" si="91"/>
        <v>0</v>
      </c>
      <c r="BF114" s="41">
        <f t="shared" si="74"/>
        <v>0</v>
      </c>
      <c r="BG114" s="41">
        <f t="shared" si="75"/>
        <v>0</v>
      </c>
      <c r="BH114" s="47">
        <f t="shared" si="76"/>
        <v>0</v>
      </c>
      <c r="BI114" s="47">
        <f t="shared" si="77"/>
        <v>0</v>
      </c>
      <c r="BJ114" s="92">
        <f t="shared" si="89"/>
        <v>0</v>
      </c>
    </row>
    <row r="115" spans="1:62" s="3" customFormat="1" ht="12.75" x14ac:dyDescent="0.2">
      <c r="A115" s="12">
        <f t="shared" si="78"/>
        <v>90</v>
      </c>
      <c r="B115" s="13">
        <f t="shared" si="93"/>
        <v>6.5051364944066992E-2</v>
      </c>
      <c r="C115" s="82">
        <f>IF($A115=E$20,'Construction Costs_2022'!$K$22+'Construction Costs_2022'!$K$7,0)</f>
        <v>0</v>
      </c>
      <c r="D115" s="38">
        <f t="shared" si="90"/>
        <v>28800</v>
      </c>
      <c r="E115" s="38"/>
      <c r="F115" s="45"/>
      <c r="G115" s="46">
        <f t="shared" si="60"/>
        <v>28800</v>
      </c>
      <c r="H115" s="41">
        <f t="shared" si="61"/>
        <v>0</v>
      </c>
      <c r="I115" s="41">
        <f t="shared" si="61"/>
        <v>1873.4793103891293</v>
      </c>
      <c r="J115" s="47">
        <f t="shared" si="61"/>
        <v>0</v>
      </c>
      <c r="K115" s="47">
        <f t="shared" si="61"/>
        <v>0</v>
      </c>
      <c r="L115" s="92">
        <f t="shared" si="79"/>
        <v>1873.4793103891293</v>
      </c>
      <c r="M115" s="91">
        <f>IF($A115=O$20,'Construction Costs_2022'!$K$43+'Construction Costs_2022'!$K$7,0)</f>
        <v>0</v>
      </c>
      <c r="N115" s="38">
        <f t="shared" si="80"/>
        <v>43200</v>
      </c>
      <c r="O115" s="38"/>
      <c r="P115" s="45"/>
      <c r="Q115" s="46">
        <f t="shared" si="62"/>
        <v>43200</v>
      </c>
      <c r="R115" s="41">
        <f t="shared" si="95"/>
        <v>0</v>
      </c>
      <c r="S115" s="41">
        <f t="shared" si="92"/>
        <v>2810.2189655836942</v>
      </c>
      <c r="T115" s="47">
        <f t="shared" si="94"/>
        <v>0</v>
      </c>
      <c r="U115" s="47">
        <f t="shared" si="63"/>
        <v>0</v>
      </c>
      <c r="V115" s="92">
        <f t="shared" si="81"/>
        <v>2810.2189655836942</v>
      </c>
      <c r="W115" s="82">
        <f>IF($A115=Y$20,'Construction Costs_2022'!$K$64+'Construction Costs_2022'!$K$7,0)</f>
        <v>0</v>
      </c>
      <c r="X115" s="38">
        <f t="shared" si="82"/>
        <v>0</v>
      </c>
      <c r="Y115" s="38"/>
      <c r="Z115" s="45"/>
      <c r="AA115" s="46">
        <f t="shared" si="64"/>
        <v>0</v>
      </c>
      <c r="AB115" s="41">
        <f t="shared" si="96"/>
        <v>0</v>
      </c>
      <c r="AC115" s="41">
        <f t="shared" si="96"/>
        <v>0</v>
      </c>
      <c r="AD115" s="47">
        <f t="shared" si="96"/>
        <v>0</v>
      </c>
      <c r="AE115" s="47">
        <f t="shared" si="65"/>
        <v>0</v>
      </c>
      <c r="AF115" s="92">
        <f t="shared" si="83"/>
        <v>0</v>
      </c>
      <c r="AG115" s="82">
        <f>IF($A115=AI$20,'Construction Costs_2022'!$K$84+'Construction Costs_2022'!$K$7,0)</f>
        <v>0</v>
      </c>
      <c r="AH115" s="38">
        <f t="shared" si="84"/>
        <v>0</v>
      </c>
      <c r="AI115" s="38"/>
      <c r="AJ115" s="45"/>
      <c r="AK115" s="46">
        <f t="shared" si="56"/>
        <v>0</v>
      </c>
      <c r="AL115" s="41">
        <f t="shared" si="66"/>
        <v>0</v>
      </c>
      <c r="AM115" s="41">
        <f t="shared" si="67"/>
        <v>0</v>
      </c>
      <c r="AN115" s="47">
        <f t="shared" si="68"/>
        <v>0</v>
      </c>
      <c r="AO115" s="47">
        <f t="shared" si="69"/>
        <v>0</v>
      </c>
      <c r="AP115" s="92">
        <f t="shared" si="85"/>
        <v>0</v>
      </c>
      <c r="AQ115" s="82">
        <f>IF($A115=AS$20,'Construction Costs_2022'!$K$104+'Construction Costs_2022'!$K$7,0)</f>
        <v>0</v>
      </c>
      <c r="AR115" s="38">
        <f t="shared" si="86"/>
        <v>0</v>
      </c>
      <c r="AS115" s="38"/>
      <c r="AT115" s="45"/>
      <c r="AU115" s="46">
        <f t="shared" si="57"/>
        <v>0</v>
      </c>
      <c r="AV115" s="41">
        <f t="shared" si="70"/>
        <v>0</v>
      </c>
      <c r="AW115" s="41">
        <f t="shared" si="71"/>
        <v>0</v>
      </c>
      <c r="AX115" s="47">
        <f t="shared" si="72"/>
        <v>0</v>
      </c>
      <c r="AY115" s="47">
        <f t="shared" si="73"/>
        <v>0</v>
      </c>
      <c r="AZ115" s="92">
        <f t="shared" si="87"/>
        <v>0</v>
      </c>
      <c r="BA115" s="82">
        <f>IF($A115=BC$20,'Construction Costs_2022'!$K$104+'Construction Costs_2022'!$K$7,0)</f>
        <v>0</v>
      </c>
      <c r="BB115" s="38">
        <f t="shared" si="88"/>
        <v>0</v>
      </c>
      <c r="BC115" s="38"/>
      <c r="BD115" s="45"/>
      <c r="BE115" s="46">
        <f t="shared" si="91"/>
        <v>0</v>
      </c>
      <c r="BF115" s="41">
        <f t="shared" si="74"/>
        <v>0</v>
      </c>
      <c r="BG115" s="41">
        <f t="shared" si="75"/>
        <v>0</v>
      </c>
      <c r="BH115" s="47">
        <f t="shared" si="76"/>
        <v>0</v>
      </c>
      <c r="BI115" s="47">
        <f t="shared" si="77"/>
        <v>0</v>
      </c>
      <c r="BJ115" s="92">
        <f t="shared" si="89"/>
        <v>0</v>
      </c>
    </row>
    <row r="116" spans="1:62" s="3" customFormat="1" ht="12.75" x14ac:dyDescent="0.2">
      <c r="A116" s="12">
        <f t="shared" si="78"/>
        <v>91</v>
      </c>
      <c r="B116" s="13">
        <f t="shared" si="93"/>
        <v>6.3464746286894635E-2</v>
      </c>
      <c r="C116" s="82">
        <f>IF($A116=E$20,'Construction Costs_2022'!$K$22+'Construction Costs_2022'!$K$7,0)</f>
        <v>0</v>
      </c>
      <c r="D116" s="38">
        <f t="shared" si="90"/>
        <v>28800</v>
      </c>
      <c r="E116" s="38"/>
      <c r="F116" s="45"/>
      <c r="G116" s="46">
        <f t="shared" si="60"/>
        <v>28800</v>
      </c>
      <c r="H116" s="41">
        <f t="shared" si="61"/>
        <v>0</v>
      </c>
      <c r="I116" s="41">
        <f t="shared" si="61"/>
        <v>1827.7846930625656</v>
      </c>
      <c r="J116" s="47">
        <f t="shared" si="61"/>
        <v>0</v>
      </c>
      <c r="K116" s="47">
        <f t="shared" si="61"/>
        <v>0</v>
      </c>
      <c r="L116" s="92">
        <f t="shared" si="79"/>
        <v>1827.7846930625656</v>
      </c>
      <c r="M116" s="91">
        <f>IF($A116=O$20,'Construction Costs_2022'!$K$43+'Construction Costs_2022'!$K$7,0)</f>
        <v>0</v>
      </c>
      <c r="N116" s="38">
        <f t="shared" si="80"/>
        <v>43200</v>
      </c>
      <c r="O116" s="38"/>
      <c r="P116" s="45"/>
      <c r="Q116" s="46">
        <f t="shared" si="62"/>
        <v>43200</v>
      </c>
      <c r="R116" s="41">
        <f t="shared" si="95"/>
        <v>0</v>
      </c>
      <c r="S116" s="41">
        <f t="shared" si="92"/>
        <v>2741.6770395938483</v>
      </c>
      <c r="T116" s="47">
        <f t="shared" si="94"/>
        <v>0</v>
      </c>
      <c r="U116" s="47">
        <f t="shared" si="63"/>
        <v>0</v>
      </c>
      <c r="V116" s="92">
        <f t="shared" si="81"/>
        <v>2741.6770395938483</v>
      </c>
      <c r="W116" s="82">
        <f>IF($A116=Y$20,'Construction Costs_2022'!$K$64+'Construction Costs_2022'!$K$7,0)</f>
        <v>0</v>
      </c>
      <c r="X116" s="38">
        <f t="shared" si="82"/>
        <v>0</v>
      </c>
      <c r="Y116" s="38"/>
      <c r="Z116" s="45"/>
      <c r="AA116" s="46">
        <f t="shared" si="64"/>
        <v>0</v>
      </c>
      <c r="AB116" s="41">
        <f t="shared" si="96"/>
        <v>0</v>
      </c>
      <c r="AC116" s="41">
        <f t="shared" si="96"/>
        <v>0</v>
      </c>
      <c r="AD116" s="47">
        <f t="shared" si="96"/>
        <v>0</v>
      </c>
      <c r="AE116" s="47">
        <f t="shared" si="65"/>
        <v>0</v>
      </c>
      <c r="AF116" s="92">
        <f t="shared" si="83"/>
        <v>0</v>
      </c>
      <c r="AG116" s="82">
        <f>IF($A116=AI$20,'Construction Costs_2022'!$K$84+'Construction Costs_2022'!$K$7,0)</f>
        <v>0</v>
      </c>
      <c r="AH116" s="38">
        <f t="shared" si="84"/>
        <v>0</v>
      </c>
      <c r="AI116" s="38"/>
      <c r="AJ116" s="45"/>
      <c r="AK116" s="46">
        <f t="shared" si="56"/>
        <v>0</v>
      </c>
      <c r="AL116" s="41">
        <f t="shared" si="66"/>
        <v>0</v>
      </c>
      <c r="AM116" s="41">
        <f t="shared" si="67"/>
        <v>0</v>
      </c>
      <c r="AN116" s="47">
        <f t="shared" si="68"/>
        <v>0</v>
      </c>
      <c r="AO116" s="47">
        <f t="shared" si="69"/>
        <v>0</v>
      </c>
      <c r="AP116" s="92">
        <f t="shared" si="85"/>
        <v>0</v>
      </c>
      <c r="AQ116" s="82">
        <f>IF($A116=AS$20,'Construction Costs_2022'!$K$104+'Construction Costs_2022'!$K$7,0)</f>
        <v>0</v>
      </c>
      <c r="AR116" s="38">
        <f t="shared" si="86"/>
        <v>0</v>
      </c>
      <c r="AS116" s="38"/>
      <c r="AT116" s="45"/>
      <c r="AU116" s="46">
        <f t="shared" si="57"/>
        <v>0</v>
      </c>
      <c r="AV116" s="41">
        <f t="shared" si="70"/>
        <v>0</v>
      </c>
      <c r="AW116" s="41">
        <f t="shared" si="71"/>
        <v>0</v>
      </c>
      <c r="AX116" s="47">
        <f t="shared" si="72"/>
        <v>0</v>
      </c>
      <c r="AY116" s="47">
        <f t="shared" si="73"/>
        <v>0</v>
      </c>
      <c r="AZ116" s="92">
        <f t="shared" si="87"/>
        <v>0</v>
      </c>
      <c r="BA116" s="82">
        <f>IF($A116=BC$20,'Construction Costs_2022'!$K$104+'Construction Costs_2022'!$K$7,0)</f>
        <v>0</v>
      </c>
      <c r="BB116" s="38">
        <f t="shared" si="88"/>
        <v>0</v>
      </c>
      <c r="BC116" s="38"/>
      <c r="BD116" s="45"/>
      <c r="BE116" s="46">
        <f t="shared" si="91"/>
        <v>0</v>
      </c>
      <c r="BF116" s="41">
        <f t="shared" si="74"/>
        <v>0</v>
      </c>
      <c r="BG116" s="41">
        <f t="shared" si="75"/>
        <v>0</v>
      </c>
      <c r="BH116" s="47">
        <f t="shared" si="76"/>
        <v>0</v>
      </c>
      <c r="BI116" s="47">
        <f t="shared" si="77"/>
        <v>0</v>
      </c>
      <c r="BJ116" s="92">
        <f t="shared" si="89"/>
        <v>0</v>
      </c>
    </row>
    <row r="117" spans="1:62" s="3" customFormat="1" ht="12.75" x14ac:dyDescent="0.2">
      <c r="A117" s="12">
        <f t="shared" si="78"/>
        <v>92</v>
      </c>
      <c r="B117" s="13">
        <f t="shared" si="93"/>
        <v>6.1916825645750871E-2</v>
      </c>
      <c r="C117" s="82">
        <f>IF($A117=E$20,'Construction Costs_2022'!$K$22+'Construction Costs_2022'!$K$7,0)</f>
        <v>0</v>
      </c>
      <c r="D117" s="38">
        <f t="shared" si="90"/>
        <v>1401900</v>
      </c>
      <c r="E117" s="38"/>
      <c r="F117" s="45"/>
      <c r="G117" s="46">
        <f t="shared" si="60"/>
        <v>1401900</v>
      </c>
      <c r="H117" s="41">
        <f t="shared" si="61"/>
        <v>0</v>
      </c>
      <c r="I117" s="41">
        <f>D117*$B117</f>
        <v>86801.197872778153</v>
      </c>
      <c r="J117" s="47">
        <f t="shared" si="61"/>
        <v>0</v>
      </c>
      <c r="K117" s="47">
        <f t="shared" si="61"/>
        <v>0</v>
      </c>
      <c r="L117" s="92">
        <f t="shared" si="79"/>
        <v>86801.197872778153</v>
      </c>
      <c r="M117" s="91">
        <f>IF($A117=O$20,'Construction Costs_2022'!$K$43+'Construction Costs_2022'!$K$7,0)</f>
        <v>0</v>
      </c>
      <c r="N117" s="38">
        <f t="shared" si="80"/>
        <v>1307840</v>
      </c>
      <c r="O117" s="38"/>
      <c r="P117" s="45"/>
      <c r="Q117" s="46">
        <f t="shared" si="62"/>
        <v>1307840</v>
      </c>
      <c r="R117" s="41">
        <f t="shared" si="95"/>
        <v>0</v>
      </c>
      <c r="S117" s="41">
        <f t="shared" si="92"/>
        <v>80977.301252538819</v>
      </c>
      <c r="T117" s="47">
        <f t="shared" si="94"/>
        <v>0</v>
      </c>
      <c r="U117" s="47">
        <f t="shared" si="63"/>
        <v>0</v>
      </c>
      <c r="V117" s="92">
        <f t="shared" si="81"/>
        <v>80977.301252538819</v>
      </c>
      <c r="W117" s="82">
        <f>IF($A117=Y$20,'Construction Costs_2022'!$K$64+'Construction Costs_2022'!$K$7,0)</f>
        <v>0</v>
      </c>
      <c r="X117" s="38">
        <f t="shared" si="82"/>
        <v>1019280</v>
      </c>
      <c r="Y117" s="38"/>
      <c r="Z117" s="45"/>
      <c r="AA117" s="46">
        <f t="shared" si="64"/>
        <v>1019280</v>
      </c>
      <c r="AB117" s="41">
        <f t="shared" si="96"/>
        <v>0</v>
      </c>
      <c r="AC117" s="41">
        <f t="shared" si="96"/>
        <v>63110.58204420095</v>
      </c>
      <c r="AD117" s="47">
        <f t="shared" si="96"/>
        <v>0</v>
      </c>
      <c r="AE117" s="47">
        <f t="shared" si="65"/>
        <v>0</v>
      </c>
      <c r="AF117" s="92">
        <f t="shared" si="83"/>
        <v>63110.58204420095</v>
      </c>
      <c r="AG117" s="82">
        <f>IF($A117=AI$20,'Construction Costs_2022'!$K$84+'Construction Costs_2022'!$K$7,0)</f>
        <v>0</v>
      </c>
      <c r="AH117" s="38">
        <f t="shared" si="84"/>
        <v>976260</v>
      </c>
      <c r="AI117" s="38"/>
      <c r="AJ117" s="45"/>
      <c r="AK117" s="46">
        <f t="shared" si="56"/>
        <v>976260</v>
      </c>
      <c r="AL117" s="41">
        <f t="shared" si="66"/>
        <v>0</v>
      </c>
      <c r="AM117" s="41">
        <f t="shared" si="67"/>
        <v>60446.920204920745</v>
      </c>
      <c r="AN117" s="47">
        <f t="shared" si="68"/>
        <v>0</v>
      </c>
      <c r="AO117" s="47">
        <f t="shared" si="69"/>
        <v>0</v>
      </c>
      <c r="AP117" s="92">
        <f t="shared" si="85"/>
        <v>60446.920204920745</v>
      </c>
      <c r="AQ117" s="82">
        <f>IF($A117=AS$20,'Construction Costs_2022'!$K$104+'Construction Costs_2022'!$K$7,0)</f>
        <v>0</v>
      </c>
      <c r="AR117" s="38">
        <f t="shared" si="86"/>
        <v>1105320</v>
      </c>
      <c r="AS117" s="38"/>
      <c r="AT117" s="45"/>
      <c r="AU117" s="46">
        <f t="shared" si="57"/>
        <v>1105320</v>
      </c>
      <c r="AV117" s="41">
        <f t="shared" si="70"/>
        <v>0</v>
      </c>
      <c r="AW117" s="41">
        <f t="shared" si="71"/>
        <v>68437.905722761352</v>
      </c>
      <c r="AX117" s="47">
        <f t="shared" si="72"/>
        <v>0</v>
      </c>
      <c r="AY117" s="47">
        <f t="shared" si="73"/>
        <v>0</v>
      </c>
      <c r="AZ117" s="92">
        <f t="shared" si="87"/>
        <v>68437.905722761352</v>
      </c>
      <c r="BA117" s="82">
        <f>IF($A117=BC$20,'Construction Costs_2022'!$K$104+'Construction Costs_2022'!$K$7,0)</f>
        <v>0</v>
      </c>
      <c r="BB117" s="38">
        <f t="shared" si="88"/>
        <v>301530</v>
      </c>
      <c r="BC117" s="38"/>
      <c r="BD117" s="45"/>
      <c r="BE117" s="46">
        <f t="shared" si="91"/>
        <v>301530</v>
      </c>
      <c r="BF117" s="41">
        <f t="shared" si="74"/>
        <v>0</v>
      </c>
      <c r="BG117" s="41">
        <f t="shared" si="75"/>
        <v>18669.780436963261</v>
      </c>
      <c r="BH117" s="47">
        <f t="shared" si="76"/>
        <v>0</v>
      </c>
      <c r="BI117" s="47">
        <f t="shared" si="77"/>
        <v>0</v>
      </c>
      <c r="BJ117" s="92">
        <f t="shared" si="89"/>
        <v>18669.780436963261</v>
      </c>
    </row>
    <row r="118" spans="1:62" s="3" customFormat="1" ht="12.75" x14ac:dyDescent="0.2">
      <c r="A118" s="12">
        <f t="shared" si="78"/>
        <v>93</v>
      </c>
      <c r="B118" s="13">
        <f t="shared" si="93"/>
        <v>6.0406659166586218E-2</v>
      </c>
      <c r="C118" s="82">
        <f>IF($A118=E$20,'Construction Costs_2022'!$K$22+'Construction Costs_2022'!$K$7,0)</f>
        <v>0</v>
      </c>
      <c r="D118" s="38">
        <f t="shared" si="90"/>
        <v>28800</v>
      </c>
      <c r="E118" s="38"/>
      <c r="F118" s="45"/>
      <c r="G118" s="46">
        <f t="shared" si="60"/>
        <v>28800</v>
      </c>
      <c r="H118" s="41">
        <f t="shared" si="61"/>
        <v>0</v>
      </c>
      <c r="I118" s="41">
        <f t="shared" si="61"/>
        <v>1739.7117839976831</v>
      </c>
      <c r="J118" s="47">
        <f t="shared" si="61"/>
        <v>0</v>
      </c>
      <c r="K118" s="47">
        <f t="shared" si="61"/>
        <v>0</v>
      </c>
      <c r="L118" s="92">
        <f t="shared" si="79"/>
        <v>1739.7117839976831</v>
      </c>
      <c r="M118" s="91">
        <f>IF($A118=O$20,'Construction Costs_2022'!$K$43+'Construction Costs_2022'!$K$7,0)</f>
        <v>0</v>
      </c>
      <c r="N118" s="38">
        <f t="shared" si="80"/>
        <v>43200</v>
      </c>
      <c r="O118" s="38"/>
      <c r="P118" s="45"/>
      <c r="Q118" s="46">
        <f t="shared" si="62"/>
        <v>43200</v>
      </c>
      <c r="R118" s="41">
        <f t="shared" si="95"/>
        <v>0</v>
      </c>
      <c r="S118" s="41">
        <f t="shared" si="92"/>
        <v>2609.5676759965245</v>
      </c>
      <c r="T118" s="47">
        <f t="shared" si="94"/>
        <v>0</v>
      </c>
      <c r="U118" s="47">
        <f t="shared" si="63"/>
        <v>0</v>
      </c>
      <c r="V118" s="92">
        <f t="shared" si="81"/>
        <v>2609.5676759965245</v>
      </c>
      <c r="W118" s="82">
        <f>IF($A118=Y$20,'Construction Costs_2022'!$K$64+'Construction Costs_2022'!$K$7,0)</f>
        <v>0</v>
      </c>
      <c r="X118" s="38">
        <f t="shared" si="82"/>
        <v>0</v>
      </c>
      <c r="Y118" s="38"/>
      <c r="Z118" s="45"/>
      <c r="AA118" s="46">
        <f t="shared" si="64"/>
        <v>0</v>
      </c>
      <c r="AB118" s="41">
        <f t="shared" si="96"/>
        <v>0</v>
      </c>
      <c r="AC118" s="41">
        <f t="shared" si="96"/>
        <v>0</v>
      </c>
      <c r="AD118" s="47">
        <f t="shared" si="96"/>
        <v>0</v>
      </c>
      <c r="AE118" s="47">
        <f t="shared" si="65"/>
        <v>0</v>
      </c>
      <c r="AF118" s="92">
        <f t="shared" si="83"/>
        <v>0</v>
      </c>
      <c r="AG118" s="82">
        <f>IF($A118=AI$20,'Construction Costs_2022'!$K$84+'Construction Costs_2022'!$K$7,0)</f>
        <v>0</v>
      </c>
      <c r="AH118" s="38">
        <f t="shared" si="84"/>
        <v>0</v>
      </c>
      <c r="AI118" s="38"/>
      <c r="AJ118" s="45"/>
      <c r="AK118" s="46">
        <f t="shared" si="56"/>
        <v>0</v>
      </c>
      <c r="AL118" s="41">
        <f t="shared" si="66"/>
        <v>0</v>
      </c>
      <c r="AM118" s="41">
        <f t="shared" si="67"/>
        <v>0</v>
      </c>
      <c r="AN118" s="47">
        <f t="shared" si="68"/>
        <v>0</v>
      </c>
      <c r="AO118" s="47">
        <f t="shared" si="69"/>
        <v>0</v>
      </c>
      <c r="AP118" s="92">
        <f t="shared" si="85"/>
        <v>0</v>
      </c>
      <c r="AQ118" s="82">
        <f>IF($A118=AS$20,'Construction Costs_2022'!$K$104+'Construction Costs_2022'!$K$7,0)</f>
        <v>0</v>
      </c>
      <c r="AR118" s="38">
        <f t="shared" si="86"/>
        <v>0</v>
      </c>
      <c r="AS118" s="38"/>
      <c r="AT118" s="45"/>
      <c r="AU118" s="46">
        <f t="shared" si="57"/>
        <v>0</v>
      </c>
      <c r="AV118" s="41">
        <f t="shared" si="70"/>
        <v>0</v>
      </c>
      <c r="AW118" s="41">
        <f t="shared" si="71"/>
        <v>0</v>
      </c>
      <c r="AX118" s="47">
        <f t="shared" si="72"/>
        <v>0</v>
      </c>
      <c r="AY118" s="47">
        <f t="shared" si="73"/>
        <v>0</v>
      </c>
      <c r="AZ118" s="92">
        <f t="shared" si="87"/>
        <v>0</v>
      </c>
      <c r="BA118" s="82">
        <f>IF($A118=BC$20,'Construction Costs_2022'!$K$104+'Construction Costs_2022'!$K$7,0)</f>
        <v>0</v>
      </c>
      <c r="BB118" s="38">
        <f t="shared" si="88"/>
        <v>0</v>
      </c>
      <c r="BC118" s="38"/>
      <c r="BD118" s="45"/>
      <c r="BE118" s="46">
        <f t="shared" si="91"/>
        <v>0</v>
      </c>
      <c r="BF118" s="41">
        <f t="shared" si="74"/>
        <v>0</v>
      </c>
      <c r="BG118" s="41">
        <f t="shared" si="75"/>
        <v>0</v>
      </c>
      <c r="BH118" s="47">
        <f t="shared" si="76"/>
        <v>0</v>
      </c>
      <c r="BI118" s="47">
        <f t="shared" si="77"/>
        <v>0</v>
      </c>
      <c r="BJ118" s="92">
        <f t="shared" si="89"/>
        <v>0</v>
      </c>
    </row>
    <row r="119" spans="1:62" s="3" customFormat="1" ht="12.75" x14ac:dyDescent="0.2">
      <c r="A119" s="12">
        <f t="shared" si="78"/>
        <v>94</v>
      </c>
      <c r="B119" s="13">
        <f t="shared" si="93"/>
        <v>5.8933326016181682E-2</v>
      </c>
      <c r="C119" s="82">
        <f>IF($A119=E$20,'Construction Costs_2022'!$K$22+'Construction Costs_2022'!$K$7,0)</f>
        <v>0</v>
      </c>
      <c r="D119" s="38">
        <f t="shared" si="90"/>
        <v>28800</v>
      </c>
      <c r="E119" s="38"/>
      <c r="F119" s="45"/>
      <c r="G119" s="46">
        <f t="shared" si="60"/>
        <v>28800</v>
      </c>
      <c r="H119" s="41">
        <f t="shared" si="61"/>
        <v>0</v>
      </c>
      <c r="I119" s="41">
        <f t="shared" si="61"/>
        <v>1697.2797892660324</v>
      </c>
      <c r="J119" s="47">
        <f t="shared" si="61"/>
        <v>0</v>
      </c>
      <c r="K119" s="47">
        <f t="shared" si="61"/>
        <v>0</v>
      </c>
      <c r="L119" s="92">
        <f t="shared" si="79"/>
        <v>1697.2797892660324</v>
      </c>
      <c r="M119" s="91">
        <f>IF($A119=O$20,'Construction Costs_2022'!$K$43+'Construction Costs_2022'!$K$7,0)</f>
        <v>0</v>
      </c>
      <c r="N119" s="38">
        <f t="shared" si="80"/>
        <v>43200</v>
      </c>
      <c r="O119" s="38"/>
      <c r="P119" s="45"/>
      <c r="Q119" s="46">
        <f t="shared" si="62"/>
        <v>43200</v>
      </c>
      <c r="R119" s="41">
        <f t="shared" si="95"/>
        <v>0</v>
      </c>
      <c r="S119" s="41">
        <f t="shared" si="92"/>
        <v>2545.9196838990488</v>
      </c>
      <c r="T119" s="47">
        <f t="shared" si="94"/>
        <v>0</v>
      </c>
      <c r="U119" s="47">
        <f t="shared" si="63"/>
        <v>0</v>
      </c>
      <c r="V119" s="92">
        <f t="shared" si="81"/>
        <v>2545.9196838990488</v>
      </c>
      <c r="W119" s="82">
        <f>IF($A119=Y$20,'Construction Costs_2022'!$K$64+'Construction Costs_2022'!$K$7,0)</f>
        <v>0</v>
      </c>
      <c r="X119" s="38">
        <f t="shared" si="82"/>
        <v>0</v>
      </c>
      <c r="Y119" s="38"/>
      <c r="Z119" s="45"/>
      <c r="AA119" s="46">
        <f t="shared" si="64"/>
        <v>0</v>
      </c>
      <c r="AB119" s="41">
        <f t="shared" si="96"/>
        <v>0</v>
      </c>
      <c r="AC119" s="41">
        <f t="shared" si="96"/>
        <v>0</v>
      </c>
      <c r="AD119" s="47">
        <f t="shared" si="96"/>
        <v>0</v>
      </c>
      <c r="AE119" s="47">
        <f t="shared" si="65"/>
        <v>0</v>
      </c>
      <c r="AF119" s="92">
        <f t="shared" si="83"/>
        <v>0</v>
      </c>
      <c r="AG119" s="82">
        <f>IF($A119=AI$20,'Construction Costs_2022'!$K$84+'Construction Costs_2022'!$K$7,0)</f>
        <v>0</v>
      </c>
      <c r="AH119" s="38">
        <f t="shared" si="84"/>
        <v>0</v>
      </c>
      <c r="AI119" s="38"/>
      <c r="AJ119" s="45"/>
      <c r="AK119" s="46">
        <f t="shared" si="56"/>
        <v>0</v>
      </c>
      <c r="AL119" s="41">
        <f t="shared" si="66"/>
        <v>0</v>
      </c>
      <c r="AM119" s="41">
        <f t="shared" si="67"/>
        <v>0</v>
      </c>
      <c r="AN119" s="47">
        <f t="shared" si="68"/>
        <v>0</v>
      </c>
      <c r="AO119" s="47">
        <f t="shared" si="69"/>
        <v>0</v>
      </c>
      <c r="AP119" s="92">
        <f t="shared" si="85"/>
        <v>0</v>
      </c>
      <c r="AQ119" s="82">
        <f>IF($A119=AS$20,'Construction Costs_2022'!$K$104+'Construction Costs_2022'!$K$7,0)</f>
        <v>0</v>
      </c>
      <c r="AR119" s="38">
        <f t="shared" si="86"/>
        <v>0</v>
      </c>
      <c r="AS119" s="38"/>
      <c r="AT119" s="45"/>
      <c r="AU119" s="46">
        <f t="shared" si="57"/>
        <v>0</v>
      </c>
      <c r="AV119" s="41">
        <f t="shared" si="70"/>
        <v>0</v>
      </c>
      <c r="AW119" s="41">
        <f t="shared" si="71"/>
        <v>0</v>
      </c>
      <c r="AX119" s="47">
        <f t="shared" si="72"/>
        <v>0</v>
      </c>
      <c r="AY119" s="47">
        <f t="shared" si="73"/>
        <v>0</v>
      </c>
      <c r="AZ119" s="92">
        <f t="shared" si="87"/>
        <v>0</v>
      </c>
      <c r="BA119" s="82">
        <f>IF($A119=BC$20,'Construction Costs_2022'!$K$104+'Construction Costs_2022'!$K$7,0)</f>
        <v>0</v>
      </c>
      <c r="BB119" s="38">
        <f t="shared" si="88"/>
        <v>0</v>
      </c>
      <c r="BC119" s="38"/>
      <c r="BD119" s="45"/>
      <c r="BE119" s="46">
        <f t="shared" si="91"/>
        <v>0</v>
      </c>
      <c r="BF119" s="41">
        <f t="shared" si="74"/>
        <v>0</v>
      </c>
      <c r="BG119" s="41">
        <f t="shared" si="75"/>
        <v>0</v>
      </c>
      <c r="BH119" s="47">
        <f t="shared" si="76"/>
        <v>0</v>
      </c>
      <c r="BI119" s="47">
        <f t="shared" si="77"/>
        <v>0</v>
      </c>
      <c r="BJ119" s="92">
        <f t="shared" si="89"/>
        <v>0</v>
      </c>
    </row>
    <row r="120" spans="1:62" s="3" customFormat="1" ht="12.75" x14ac:dyDescent="0.2">
      <c r="A120" s="12">
        <f t="shared" si="78"/>
        <v>95</v>
      </c>
      <c r="B120" s="13">
        <f t="shared" si="93"/>
        <v>5.7495927820665059E-2</v>
      </c>
      <c r="C120" s="82">
        <f>IF($A120=E$20,'Construction Costs_2022'!$K$22+'Construction Costs_2022'!$K$7,0)</f>
        <v>0</v>
      </c>
      <c r="D120" s="38">
        <f t="shared" si="90"/>
        <v>28800</v>
      </c>
      <c r="E120" s="38"/>
      <c r="F120" s="45"/>
      <c r="G120" s="46">
        <f t="shared" si="60"/>
        <v>28800</v>
      </c>
      <c r="H120" s="41">
        <f t="shared" si="61"/>
        <v>0</v>
      </c>
      <c r="I120" s="41">
        <f t="shared" si="61"/>
        <v>1655.8827212351537</v>
      </c>
      <c r="J120" s="47">
        <f t="shared" si="61"/>
        <v>0</v>
      </c>
      <c r="K120" s="47">
        <f t="shared" si="61"/>
        <v>0</v>
      </c>
      <c r="L120" s="92">
        <f t="shared" si="79"/>
        <v>1655.8827212351537</v>
      </c>
      <c r="M120" s="91">
        <f>IF($A120=O$20,'Construction Costs_2022'!$K$43+'Construction Costs_2022'!$K$7,0)</f>
        <v>0</v>
      </c>
      <c r="N120" s="38">
        <f t="shared" si="80"/>
        <v>43200</v>
      </c>
      <c r="O120" s="38"/>
      <c r="P120" s="45"/>
      <c r="Q120" s="46">
        <f t="shared" si="62"/>
        <v>43200</v>
      </c>
      <c r="R120" s="41">
        <f t="shared" si="95"/>
        <v>0</v>
      </c>
      <c r="S120" s="41">
        <f t="shared" si="92"/>
        <v>2483.8240818527306</v>
      </c>
      <c r="T120" s="47">
        <f t="shared" si="94"/>
        <v>0</v>
      </c>
      <c r="U120" s="47">
        <f t="shared" si="63"/>
        <v>0</v>
      </c>
      <c r="V120" s="92">
        <f t="shared" si="81"/>
        <v>2483.8240818527306</v>
      </c>
      <c r="W120" s="82">
        <f>IF($A120=Y$20,'Construction Costs_2022'!$K$64+'Construction Costs_2022'!$K$7,0)</f>
        <v>0</v>
      </c>
      <c r="X120" s="38">
        <f t="shared" si="82"/>
        <v>0</v>
      </c>
      <c r="Y120" s="38"/>
      <c r="Z120" s="45"/>
      <c r="AA120" s="46">
        <f t="shared" si="64"/>
        <v>0</v>
      </c>
      <c r="AB120" s="41">
        <f t="shared" si="96"/>
        <v>0</v>
      </c>
      <c r="AC120" s="41">
        <f t="shared" si="96"/>
        <v>0</v>
      </c>
      <c r="AD120" s="47">
        <f t="shared" si="96"/>
        <v>0</v>
      </c>
      <c r="AE120" s="47">
        <f t="shared" si="65"/>
        <v>0</v>
      </c>
      <c r="AF120" s="92">
        <f t="shared" si="83"/>
        <v>0</v>
      </c>
      <c r="AG120" s="82">
        <f>IF($A120=AI$20,'Construction Costs_2022'!$K$84+'Construction Costs_2022'!$K$7,0)</f>
        <v>0</v>
      </c>
      <c r="AH120" s="38">
        <f t="shared" si="84"/>
        <v>0</v>
      </c>
      <c r="AI120" s="38"/>
      <c r="AJ120" s="45"/>
      <c r="AK120" s="46">
        <f t="shared" si="56"/>
        <v>0</v>
      </c>
      <c r="AL120" s="41">
        <f t="shared" si="66"/>
        <v>0</v>
      </c>
      <c r="AM120" s="41">
        <f t="shared" si="67"/>
        <v>0</v>
      </c>
      <c r="AN120" s="47">
        <f t="shared" si="68"/>
        <v>0</v>
      </c>
      <c r="AO120" s="47">
        <f t="shared" si="69"/>
        <v>0</v>
      </c>
      <c r="AP120" s="92">
        <f t="shared" si="85"/>
        <v>0</v>
      </c>
      <c r="AQ120" s="82">
        <f>IF($A120=AS$20,'Construction Costs_2022'!$K$104+'Construction Costs_2022'!$K$7,0)</f>
        <v>0</v>
      </c>
      <c r="AR120" s="38">
        <f t="shared" si="86"/>
        <v>0</v>
      </c>
      <c r="AS120" s="38"/>
      <c r="AT120" s="45"/>
      <c r="AU120" s="46">
        <f t="shared" si="57"/>
        <v>0</v>
      </c>
      <c r="AV120" s="41">
        <f t="shared" si="70"/>
        <v>0</v>
      </c>
      <c r="AW120" s="41">
        <f t="shared" si="71"/>
        <v>0</v>
      </c>
      <c r="AX120" s="47">
        <f t="shared" si="72"/>
        <v>0</v>
      </c>
      <c r="AY120" s="47">
        <f t="shared" si="73"/>
        <v>0</v>
      </c>
      <c r="AZ120" s="92">
        <f t="shared" si="87"/>
        <v>0</v>
      </c>
      <c r="BA120" s="82">
        <f>IF($A120=BC$20,'Construction Costs_2022'!$K$104+'Construction Costs_2022'!$K$7,0)</f>
        <v>0</v>
      </c>
      <c r="BB120" s="38">
        <f t="shared" si="88"/>
        <v>0</v>
      </c>
      <c r="BC120" s="38"/>
      <c r="BD120" s="45"/>
      <c r="BE120" s="46">
        <f t="shared" si="91"/>
        <v>0</v>
      </c>
      <c r="BF120" s="41">
        <f t="shared" si="74"/>
        <v>0</v>
      </c>
      <c r="BG120" s="41">
        <f t="shared" si="75"/>
        <v>0</v>
      </c>
      <c r="BH120" s="47">
        <f t="shared" si="76"/>
        <v>0</v>
      </c>
      <c r="BI120" s="47">
        <f t="shared" si="77"/>
        <v>0</v>
      </c>
      <c r="BJ120" s="92">
        <f t="shared" si="89"/>
        <v>0</v>
      </c>
    </row>
    <row r="121" spans="1:62" s="3" customFormat="1" ht="12.75" x14ac:dyDescent="0.2">
      <c r="A121" s="12">
        <f t="shared" si="78"/>
        <v>96</v>
      </c>
      <c r="B121" s="13">
        <f t="shared" si="93"/>
        <v>5.6093588117722012E-2</v>
      </c>
      <c r="C121" s="82">
        <f>IF($A121=E$20,'Construction Costs_2022'!$K$22+'Construction Costs_2022'!$K$7,0)</f>
        <v>0</v>
      </c>
      <c r="D121" s="38">
        <f t="shared" si="90"/>
        <v>28800</v>
      </c>
      <c r="E121" s="38"/>
      <c r="F121" s="45"/>
      <c r="G121" s="46">
        <f t="shared" si="60"/>
        <v>28800</v>
      </c>
      <c r="H121" s="41">
        <f t="shared" si="61"/>
        <v>0</v>
      </c>
      <c r="I121" s="41">
        <f t="shared" si="61"/>
        <v>1615.4953377903939</v>
      </c>
      <c r="J121" s="47">
        <f t="shared" si="61"/>
        <v>0</v>
      </c>
      <c r="K121" s="47">
        <f t="shared" si="61"/>
        <v>0</v>
      </c>
      <c r="L121" s="92">
        <f t="shared" si="79"/>
        <v>1615.4953377903939</v>
      </c>
      <c r="M121" s="91">
        <f>IF($A121=O$20,'Construction Costs_2022'!$K$43+'Construction Costs_2022'!$K$7,0)</f>
        <v>0</v>
      </c>
      <c r="N121" s="38">
        <f t="shared" si="80"/>
        <v>43200</v>
      </c>
      <c r="O121" s="38"/>
      <c r="P121" s="45"/>
      <c r="Q121" s="46">
        <f t="shared" si="62"/>
        <v>43200</v>
      </c>
      <c r="R121" s="41">
        <f t="shared" si="95"/>
        <v>0</v>
      </c>
      <c r="S121" s="41">
        <f t="shared" si="92"/>
        <v>2423.2430066855909</v>
      </c>
      <c r="T121" s="47">
        <f t="shared" si="94"/>
        <v>0</v>
      </c>
      <c r="U121" s="47">
        <f t="shared" si="63"/>
        <v>0</v>
      </c>
      <c r="V121" s="92">
        <f t="shared" si="81"/>
        <v>2423.2430066855909</v>
      </c>
      <c r="W121" s="82">
        <f>IF($A121=Y$20,'Construction Costs_2022'!$K$64+'Construction Costs_2022'!$K$7,0)</f>
        <v>0</v>
      </c>
      <c r="X121" s="38">
        <f t="shared" si="82"/>
        <v>0</v>
      </c>
      <c r="Y121" s="38"/>
      <c r="Z121" s="45"/>
      <c r="AA121" s="46">
        <f t="shared" si="64"/>
        <v>0</v>
      </c>
      <c r="AB121" s="41">
        <f t="shared" si="96"/>
        <v>0</v>
      </c>
      <c r="AC121" s="41">
        <f t="shared" si="96"/>
        <v>0</v>
      </c>
      <c r="AD121" s="47">
        <f t="shared" si="96"/>
        <v>0</v>
      </c>
      <c r="AE121" s="47">
        <f t="shared" si="65"/>
        <v>0</v>
      </c>
      <c r="AF121" s="92">
        <f t="shared" si="83"/>
        <v>0</v>
      </c>
      <c r="AG121" s="82">
        <f>IF($A121=AI$20,'Construction Costs_2022'!$K$84+'Construction Costs_2022'!$K$7,0)</f>
        <v>0</v>
      </c>
      <c r="AH121" s="38">
        <f t="shared" si="84"/>
        <v>0</v>
      </c>
      <c r="AI121" s="38"/>
      <c r="AJ121" s="45"/>
      <c r="AK121" s="46">
        <f t="shared" ref="AK121:AK124" si="97">SUM(AG121:AJ121)</f>
        <v>0</v>
      </c>
      <c r="AL121" s="41">
        <f t="shared" si="66"/>
        <v>0</v>
      </c>
      <c r="AM121" s="41">
        <f t="shared" si="67"/>
        <v>0</v>
      </c>
      <c r="AN121" s="47">
        <f t="shared" si="68"/>
        <v>0</v>
      </c>
      <c r="AO121" s="47">
        <f t="shared" si="69"/>
        <v>0</v>
      </c>
      <c r="AP121" s="92">
        <f t="shared" si="85"/>
        <v>0</v>
      </c>
      <c r="AQ121" s="82">
        <f>IF($A121=AS$20,'Construction Costs_2022'!$K$104+'Construction Costs_2022'!$K$7,0)</f>
        <v>0</v>
      </c>
      <c r="AR121" s="38">
        <f t="shared" si="86"/>
        <v>0</v>
      </c>
      <c r="AS121" s="38"/>
      <c r="AT121" s="45"/>
      <c r="AU121" s="46">
        <f t="shared" ref="AU121:AU124" si="98">SUM(AQ121:AT121)</f>
        <v>0</v>
      </c>
      <c r="AV121" s="41">
        <f t="shared" si="70"/>
        <v>0</v>
      </c>
      <c r="AW121" s="41">
        <f t="shared" si="71"/>
        <v>0</v>
      </c>
      <c r="AX121" s="47">
        <f t="shared" si="72"/>
        <v>0</v>
      </c>
      <c r="AY121" s="47">
        <f t="shared" si="73"/>
        <v>0</v>
      </c>
      <c r="AZ121" s="92">
        <f t="shared" si="87"/>
        <v>0</v>
      </c>
      <c r="BA121" s="82">
        <f>IF($A121=BC$20,'Construction Costs_2022'!$K$104+'Construction Costs_2022'!$K$7,0)</f>
        <v>0</v>
      </c>
      <c r="BB121" s="38">
        <f t="shared" si="88"/>
        <v>0</v>
      </c>
      <c r="BC121" s="38"/>
      <c r="BD121" s="45"/>
      <c r="BE121" s="46">
        <f t="shared" si="91"/>
        <v>0</v>
      </c>
      <c r="BF121" s="41">
        <f t="shared" si="74"/>
        <v>0</v>
      </c>
      <c r="BG121" s="41">
        <f t="shared" si="75"/>
        <v>0</v>
      </c>
      <c r="BH121" s="47">
        <f t="shared" si="76"/>
        <v>0</v>
      </c>
      <c r="BI121" s="47">
        <f t="shared" si="77"/>
        <v>0</v>
      </c>
      <c r="BJ121" s="92">
        <f t="shared" si="89"/>
        <v>0</v>
      </c>
    </row>
    <row r="122" spans="1:62" s="3" customFormat="1" ht="12.75" x14ac:dyDescent="0.2">
      <c r="A122" s="12">
        <f t="shared" si="78"/>
        <v>97</v>
      </c>
      <c r="B122" s="13">
        <f t="shared" si="93"/>
        <v>5.4725451822167821E-2</v>
      </c>
      <c r="C122" s="82">
        <f>IF($A122=E$20,'Construction Costs_2022'!$K$22+'Construction Costs_2022'!$K$7,0)</f>
        <v>0</v>
      </c>
      <c r="D122" s="38">
        <f t="shared" si="90"/>
        <v>28800</v>
      </c>
      <c r="E122" s="38"/>
      <c r="F122" s="45"/>
      <c r="G122" s="46">
        <f t="shared" si="60"/>
        <v>28800</v>
      </c>
      <c r="H122" s="41">
        <f t="shared" si="61"/>
        <v>0</v>
      </c>
      <c r="I122" s="41">
        <f t="shared" si="61"/>
        <v>1576.0930124784334</v>
      </c>
      <c r="J122" s="47">
        <f t="shared" si="61"/>
        <v>0</v>
      </c>
      <c r="K122" s="47">
        <f t="shared" si="61"/>
        <v>0</v>
      </c>
      <c r="L122" s="92">
        <f t="shared" si="79"/>
        <v>1576.0930124784334</v>
      </c>
      <c r="M122" s="91">
        <f>IF($A122=O$20,'Construction Costs_2022'!$K$43+'Construction Costs_2022'!$K$7,0)</f>
        <v>0</v>
      </c>
      <c r="N122" s="38">
        <f t="shared" si="80"/>
        <v>43200</v>
      </c>
      <c r="O122" s="38"/>
      <c r="P122" s="45"/>
      <c r="Q122" s="46">
        <f t="shared" si="62"/>
        <v>43200</v>
      </c>
      <c r="R122" s="41">
        <f t="shared" si="95"/>
        <v>0</v>
      </c>
      <c r="S122" s="41">
        <f t="shared" si="92"/>
        <v>2364.1395187176499</v>
      </c>
      <c r="T122" s="47">
        <f t="shared" si="94"/>
        <v>0</v>
      </c>
      <c r="U122" s="47">
        <f t="shared" si="63"/>
        <v>0</v>
      </c>
      <c r="V122" s="92">
        <f t="shared" si="81"/>
        <v>2364.1395187176499</v>
      </c>
      <c r="W122" s="82">
        <f>IF($A122=Y$20,'Construction Costs_2022'!$K$64+'Construction Costs_2022'!$K$7,0)</f>
        <v>0</v>
      </c>
      <c r="X122" s="38">
        <f t="shared" si="82"/>
        <v>86400</v>
      </c>
      <c r="Y122" s="38"/>
      <c r="Z122" s="45"/>
      <c r="AA122" s="46">
        <f t="shared" si="64"/>
        <v>86400</v>
      </c>
      <c r="AB122" s="41">
        <f t="shared" si="96"/>
        <v>0</v>
      </c>
      <c r="AC122" s="41">
        <f t="shared" si="96"/>
        <v>4728.2790374352999</v>
      </c>
      <c r="AD122" s="47">
        <f t="shared" si="96"/>
        <v>0</v>
      </c>
      <c r="AE122" s="47">
        <f t="shared" si="65"/>
        <v>0</v>
      </c>
      <c r="AF122" s="92">
        <f t="shared" si="83"/>
        <v>4728.2790374352999</v>
      </c>
      <c r="AG122" s="82">
        <f>IF($A122=AI$20,'Construction Costs_2022'!$K$84+'Construction Costs_2022'!$K$7,0)</f>
        <v>0</v>
      </c>
      <c r="AH122" s="38">
        <f t="shared" si="84"/>
        <v>100800</v>
      </c>
      <c r="AI122" s="38"/>
      <c r="AJ122" s="45"/>
      <c r="AK122" s="46">
        <f t="shared" si="97"/>
        <v>100800</v>
      </c>
      <c r="AL122" s="41">
        <f t="shared" si="66"/>
        <v>0</v>
      </c>
      <c r="AM122" s="41">
        <f t="shared" si="67"/>
        <v>5516.3255436745167</v>
      </c>
      <c r="AN122" s="47">
        <f t="shared" si="68"/>
        <v>0</v>
      </c>
      <c r="AO122" s="47">
        <f t="shared" si="69"/>
        <v>0</v>
      </c>
      <c r="AP122" s="92">
        <f t="shared" si="85"/>
        <v>5516.3255436745167</v>
      </c>
      <c r="AQ122" s="82">
        <f>IF($A122=AS$20,'Construction Costs_2022'!$K$104+'Construction Costs_2022'!$K$7,0)</f>
        <v>0</v>
      </c>
      <c r="AR122" s="38">
        <f t="shared" si="86"/>
        <v>57600</v>
      </c>
      <c r="AS122" s="38"/>
      <c r="AT122" s="45"/>
      <c r="AU122" s="46">
        <f t="shared" si="98"/>
        <v>57600</v>
      </c>
      <c r="AV122" s="41">
        <f t="shared" si="70"/>
        <v>0</v>
      </c>
      <c r="AW122" s="41">
        <f t="shared" si="71"/>
        <v>3152.1860249568667</v>
      </c>
      <c r="AX122" s="47">
        <f t="shared" si="72"/>
        <v>0</v>
      </c>
      <c r="AY122" s="47">
        <f t="shared" si="73"/>
        <v>0</v>
      </c>
      <c r="AZ122" s="92">
        <f t="shared" si="87"/>
        <v>3152.1860249568667</v>
      </c>
      <c r="BA122" s="82">
        <f>IF($A122=BC$20,'Construction Costs_2022'!$K$104+'Construction Costs_2022'!$K$7,0)</f>
        <v>0</v>
      </c>
      <c r="BB122" s="38">
        <f t="shared" si="88"/>
        <v>86400</v>
      </c>
      <c r="BC122" s="38"/>
      <c r="BD122" s="45"/>
      <c r="BE122" s="46">
        <f t="shared" si="91"/>
        <v>86400</v>
      </c>
      <c r="BF122" s="41">
        <f t="shared" si="74"/>
        <v>0</v>
      </c>
      <c r="BG122" s="41">
        <f t="shared" si="75"/>
        <v>4728.2790374352999</v>
      </c>
      <c r="BH122" s="47">
        <f t="shared" si="76"/>
        <v>0</v>
      </c>
      <c r="BI122" s="47">
        <f t="shared" si="77"/>
        <v>0</v>
      </c>
      <c r="BJ122" s="92">
        <f t="shared" si="89"/>
        <v>4728.2790374352999</v>
      </c>
    </row>
    <row r="123" spans="1:62" s="3" customFormat="1" ht="12.75" x14ac:dyDescent="0.2">
      <c r="A123" s="12">
        <f t="shared" si="78"/>
        <v>98</v>
      </c>
      <c r="B123" s="13">
        <f t="shared" si="93"/>
        <v>5.3390684704553978E-2</v>
      </c>
      <c r="C123" s="82">
        <f>IF($A123=E$20,'Construction Costs_2022'!$K$22+'Construction Costs_2022'!$K$7,0)</f>
        <v>0</v>
      </c>
      <c r="D123" s="38">
        <f t="shared" si="90"/>
        <v>28800</v>
      </c>
      <c r="E123" s="38"/>
      <c r="F123" s="45"/>
      <c r="G123" s="46">
        <f t="shared" si="60"/>
        <v>28800</v>
      </c>
      <c r="H123" s="41">
        <f t="shared" si="61"/>
        <v>0</v>
      </c>
      <c r="I123" s="41">
        <f t="shared" si="61"/>
        <v>1537.6517194911546</v>
      </c>
      <c r="J123" s="47">
        <f t="shared" si="61"/>
        <v>0</v>
      </c>
      <c r="K123" s="47">
        <f t="shared" si="61"/>
        <v>0</v>
      </c>
      <c r="L123" s="92">
        <f t="shared" si="79"/>
        <v>1537.6517194911546</v>
      </c>
      <c r="M123" s="91">
        <f>IF($A123=O$20,'Construction Costs_2022'!$K$43+'Construction Costs_2022'!$K$7,0)</f>
        <v>0</v>
      </c>
      <c r="N123" s="38">
        <f t="shared" si="80"/>
        <v>43200</v>
      </c>
      <c r="O123" s="38"/>
      <c r="P123" s="45"/>
      <c r="Q123" s="46">
        <f t="shared" si="62"/>
        <v>43200</v>
      </c>
      <c r="R123" s="41">
        <f t="shared" si="95"/>
        <v>0</v>
      </c>
      <c r="S123" s="41">
        <f t="shared" si="92"/>
        <v>2306.4775792367318</v>
      </c>
      <c r="T123" s="47">
        <f t="shared" si="94"/>
        <v>0</v>
      </c>
      <c r="U123" s="47">
        <f t="shared" si="63"/>
        <v>0</v>
      </c>
      <c r="V123" s="92">
        <f t="shared" si="81"/>
        <v>2306.4775792367318</v>
      </c>
      <c r="W123" s="82">
        <f>IF($A123=Y$20,'Construction Costs_2022'!$K$64+'Construction Costs_2022'!$K$7,0)</f>
        <v>0</v>
      </c>
      <c r="X123" s="38">
        <f t="shared" si="82"/>
        <v>0</v>
      </c>
      <c r="Y123" s="38"/>
      <c r="Z123" s="45"/>
      <c r="AA123" s="46">
        <f t="shared" si="64"/>
        <v>0</v>
      </c>
      <c r="AB123" s="41">
        <f t="shared" si="96"/>
        <v>0</v>
      </c>
      <c r="AC123" s="41">
        <f t="shared" si="96"/>
        <v>0</v>
      </c>
      <c r="AD123" s="47">
        <f t="shared" si="96"/>
        <v>0</v>
      </c>
      <c r="AE123" s="47">
        <f t="shared" si="65"/>
        <v>0</v>
      </c>
      <c r="AF123" s="92">
        <f t="shared" si="83"/>
        <v>0</v>
      </c>
      <c r="AG123" s="49">
        <f>IF($A123=AI$20,'Construction Costs_2022'!$K$84+'Construction Costs_2022'!$K$7,0)</f>
        <v>0</v>
      </c>
      <c r="AH123" s="38">
        <f t="shared" si="84"/>
        <v>0</v>
      </c>
      <c r="AI123" s="38"/>
      <c r="AJ123" s="45"/>
      <c r="AK123" s="46">
        <f t="shared" si="97"/>
        <v>0</v>
      </c>
      <c r="AL123" s="41">
        <f t="shared" si="66"/>
        <v>0</v>
      </c>
      <c r="AM123" s="41">
        <f t="shared" si="67"/>
        <v>0</v>
      </c>
      <c r="AN123" s="47">
        <f t="shared" si="68"/>
        <v>0</v>
      </c>
      <c r="AO123" s="47">
        <f t="shared" si="69"/>
        <v>0</v>
      </c>
      <c r="AP123" s="92">
        <f t="shared" si="85"/>
        <v>0</v>
      </c>
      <c r="AQ123" s="82">
        <f>IF($A123=AS$20,'Construction Costs_2022'!$K$104+'Construction Costs_2022'!$K$7,0)</f>
        <v>0</v>
      </c>
      <c r="AR123" s="38">
        <f t="shared" si="86"/>
        <v>0</v>
      </c>
      <c r="AS123" s="38"/>
      <c r="AT123" s="45"/>
      <c r="AU123" s="46">
        <f t="shared" si="98"/>
        <v>0</v>
      </c>
      <c r="AV123" s="41">
        <f t="shared" si="70"/>
        <v>0</v>
      </c>
      <c r="AW123" s="41">
        <f t="shared" si="71"/>
        <v>0</v>
      </c>
      <c r="AX123" s="47">
        <f t="shared" si="72"/>
        <v>0</v>
      </c>
      <c r="AY123" s="47">
        <f t="shared" si="73"/>
        <v>0</v>
      </c>
      <c r="AZ123" s="92">
        <f t="shared" si="87"/>
        <v>0</v>
      </c>
      <c r="BA123" s="82">
        <f>IF($A123=BC$20,'Construction Costs_2022'!$K$104+'Construction Costs_2022'!$K$7,0)</f>
        <v>0</v>
      </c>
      <c r="BB123" s="38">
        <f t="shared" si="88"/>
        <v>0</v>
      </c>
      <c r="BC123" s="38"/>
      <c r="BD123" s="45"/>
      <c r="BE123" s="46">
        <f t="shared" si="91"/>
        <v>0</v>
      </c>
      <c r="BF123" s="41">
        <f t="shared" si="74"/>
        <v>0</v>
      </c>
      <c r="BG123" s="41">
        <f t="shared" si="75"/>
        <v>0</v>
      </c>
      <c r="BH123" s="47">
        <f t="shared" si="76"/>
        <v>0</v>
      </c>
      <c r="BI123" s="47">
        <f t="shared" si="77"/>
        <v>0</v>
      </c>
      <c r="BJ123" s="92">
        <f t="shared" si="89"/>
        <v>0</v>
      </c>
    </row>
    <row r="124" spans="1:62" s="3" customFormat="1" ht="13.5" thickBot="1" x14ac:dyDescent="0.25">
      <c r="A124" s="84">
        <f t="shared" si="78"/>
        <v>99</v>
      </c>
      <c r="B124" s="85">
        <f t="shared" si="93"/>
        <v>5.2088472882491688E-2</v>
      </c>
      <c r="C124" s="86">
        <f>IF($A124=E$20,'Construction Costs_2022'!$K$22+'Construction Costs_2022'!$K$7,0)</f>
        <v>0</v>
      </c>
      <c r="D124" s="38">
        <f t="shared" si="90"/>
        <v>28800</v>
      </c>
      <c r="E124" s="87"/>
      <c r="F124" s="88"/>
      <c r="G124" s="50">
        <f t="shared" si="60"/>
        <v>28800</v>
      </c>
      <c r="H124" s="51">
        <f t="shared" si="61"/>
        <v>0</v>
      </c>
      <c r="I124" s="51">
        <f t="shared" si="61"/>
        <v>1500.1480190157606</v>
      </c>
      <c r="J124" s="52">
        <f t="shared" si="61"/>
        <v>0</v>
      </c>
      <c r="K124" s="52">
        <f t="shared" si="61"/>
        <v>0</v>
      </c>
      <c r="L124" s="93">
        <f t="shared" si="79"/>
        <v>1500.1480190157606</v>
      </c>
      <c r="M124" s="135">
        <f>IF($A124=O$20,'Construction Costs_2022'!$K$43+'Construction Costs_2022'!$K$7,0)</f>
        <v>0</v>
      </c>
      <c r="N124" s="38">
        <f t="shared" si="80"/>
        <v>43200</v>
      </c>
      <c r="O124" s="87"/>
      <c r="P124" s="88"/>
      <c r="Q124" s="50">
        <f t="shared" si="62"/>
        <v>43200</v>
      </c>
      <c r="R124" s="51">
        <f t="shared" si="95"/>
        <v>0</v>
      </c>
      <c r="S124" s="51">
        <f t="shared" si="92"/>
        <v>2250.2220285236408</v>
      </c>
      <c r="T124" s="52">
        <f t="shared" si="94"/>
        <v>0</v>
      </c>
      <c r="U124" s="52">
        <f t="shared" si="63"/>
        <v>0</v>
      </c>
      <c r="V124" s="140">
        <f t="shared" si="81"/>
        <v>2250.2220285236408</v>
      </c>
      <c r="W124" s="135">
        <f>IF($A124=Y$20,'Construction Costs_2022'!$K$64+'Construction Costs_2022'!$K$7,0)</f>
        <v>0</v>
      </c>
      <c r="X124" s="38">
        <f t="shared" si="82"/>
        <v>0</v>
      </c>
      <c r="Y124" s="87"/>
      <c r="Z124" s="88"/>
      <c r="AA124" s="50">
        <f t="shared" si="64"/>
        <v>0</v>
      </c>
      <c r="AB124" s="51">
        <f t="shared" si="96"/>
        <v>0</v>
      </c>
      <c r="AC124" s="51">
        <f t="shared" si="96"/>
        <v>0</v>
      </c>
      <c r="AD124" s="52">
        <f t="shared" si="96"/>
        <v>0</v>
      </c>
      <c r="AE124" s="52">
        <f t="shared" si="65"/>
        <v>0</v>
      </c>
      <c r="AF124" s="93">
        <f t="shared" si="83"/>
        <v>0</v>
      </c>
      <c r="AG124" s="86">
        <f>IF($A124=AI$20,'Construction Costs_2022'!$K$84+'Construction Costs_2022'!$K$7,0)</f>
        <v>0</v>
      </c>
      <c r="AH124" s="38">
        <f t="shared" si="84"/>
        <v>0</v>
      </c>
      <c r="AI124" s="87"/>
      <c r="AJ124" s="88"/>
      <c r="AK124" s="50">
        <f t="shared" si="97"/>
        <v>0</v>
      </c>
      <c r="AL124" s="51">
        <f t="shared" si="66"/>
        <v>0</v>
      </c>
      <c r="AM124" s="51">
        <f t="shared" si="67"/>
        <v>0</v>
      </c>
      <c r="AN124" s="52">
        <f t="shared" si="68"/>
        <v>0</v>
      </c>
      <c r="AO124" s="52">
        <f t="shared" si="69"/>
        <v>0</v>
      </c>
      <c r="AP124" s="93">
        <f t="shared" si="85"/>
        <v>0</v>
      </c>
      <c r="AQ124" s="135">
        <f>IF($A124=AS$20,'Construction Costs_2022'!$K$104+'Construction Costs_2022'!$K$7,0)</f>
        <v>0</v>
      </c>
      <c r="AR124" s="38">
        <f t="shared" si="86"/>
        <v>0</v>
      </c>
      <c r="AS124" s="87"/>
      <c r="AT124" s="88"/>
      <c r="AU124" s="50">
        <f t="shared" si="98"/>
        <v>0</v>
      </c>
      <c r="AV124" s="51">
        <f t="shared" si="70"/>
        <v>0</v>
      </c>
      <c r="AW124" s="51">
        <f t="shared" si="71"/>
        <v>0</v>
      </c>
      <c r="AX124" s="52">
        <f t="shared" si="72"/>
        <v>0</v>
      </c>
      <c r="AY124" s="52">
        <f t="shared" si="73"/>
        <v>0</v>
      </c>
      <c r="AZ124" s="93">
        <f t="shared" si="87"/>
        <v>0</v>
      </c>
      <c r="BA124" s="135">
        <f>IF($A124=BC$20,'Construction Costs_2022'!$K$104+'Construction Costs_2022'!$K$7,0)</f>
        <v>0</v>
      </c>
      <c r="BB124" s="38">
        <f t="shared" si="88"/>
        <v>0</v>
      </c>
      <c r="BC124" s="87"/>
      <c r="BD124" s="88"/>
      <c r="BE124" s="50">
        <f t="shared" si="91"/>
        <v>0</v>
      </c>
      <c r="BF124" s="51">
        <f t="shared" si="74"/>
        <v>0</v>
      </c>
      <c r="BG124" s="51">
        <f t="shared" si="75"/>
        <v>0</v>
      </c>
      <c r="BH124" s="52">
        <f t="shared" si="76"/>
        <v>0</v>
      </c>
      <c r="BI124" s="52">
        <f t="shared" si="77"/>
        <v>0</v>
      </c>
      <c r="BJ124" s="93">
        <f t="shared" si="89"/>
        <v>0</v>
      </c>
    </row>
    <row r="125" spans="1:62" x14ac:dyDescent="0.25">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16"/>
      <c r="AH125" s="16"/>
      <c r="AI125" s="16"/>
      <c r="AJ125" s="16"/>
      <c r="AK125" s="16"/>
      <c r="AL125" s="16"/>
    </row>
  </sheetData>
  <mergeCells count="5">
    <mergeCell ref="BB10:BC10"/>
    <mergeCell ref="N10:O10"/>
    <mergeCell ref="X10:Y10"/>
    <mergeCell ref="AH10:AI10"/>
    <mergeCell ref="AR10:AS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DY125"/>
  <sheetViews>
    <sheetView zoomScale="80" zoomScaleNormal="80" workbookViewId="0">
      <selection activeCell="E10" sqref="E10:F10"/>
    </sheetView>
  </sheetViews>
  <sheetFormatPr defaultColWidth="9.140625" defaultRowHeight="15" x14ac:dyDescent="0.25"/>
  <cols>
    <col min="1" max="2" width="9.140625" style="122"/>
    <col min="3" max="3" width="18.140625" style="122" bestFit="1" customWidth="1"/>
    <col min="4" max="4" width="14.42578125" style="122" customWidth="1"/>
    <col min="5" max="14" width="13.5703125" style="122" customWidth="1"/>
    <col min="15" max="15" width="15.42578125" style="122" customWidth="1"/>
    <col min="16" max="23" width="13.5703125" style="122" customWidth="1"/>
    <col min="24" max="24" width="15.5703125" style="122" bestFit="1" customWidth="1"/>
    <col min="25" max="25" width="13.5703125" style="122" customWidth="1"/>
    <col min="26" max="26" width="9.5703125" style="122" bestFit="1" customWidth="1"/>
    <col min="27" max="27" width="10.5703125" style="122" bestFit="1" customWidth="1"/>
    <col min="28" max="28" width="9.140625" style="122" bestFit="1" customWidth="1"/>
    <col min="29" max="29" width="10.5703125" style="122" bestFit="1" customWidth="1"/>
    <col min="30" max="31" width="6.42578125" style="122" bestFit="1" customWidth="1"/>
    <col min="32" max="32" width="11.5703125" style="122" bestFit="1" customWidth="1"/>
    <col min="33" max="37" width="6.42578125" style="122" bestFit="1" customWidth="1"/>
    <col min="38" max="38" width="9.5703125" style="122" bestFit="1" customWidth="1"/>
    <col min="39" max="39" width="10.5703125" style="122" bestFit="1" customWidth="1"/>
    <col min="40" max="40" width="6.42578125" style="122" bestFit="1" customWidth="1"/>
    <col min="41" max="41" width="11.140625" style="122" customWidth="1"/>
    <col min="42" max="43" width="12.140625" style="122" bestFit="1" customWidth="1"/>
    <col min="44" max="44" width="10.5703125" style="122" bestFit="1" customWidth="1"/>
    <col min="45" max="46" width="13.42578125" style="122" bestFit="1" customWidth="1"/>
    <col min="47" max="47" width="12.140625" style="122" bestFit="1" customWidth="1"/>
    <col min="48" max="48" width="9.5703125" style="122" bestFit="1" customWidth="1"/>
    <col min="49" max="49" width="10.5703125" style="122" bestFit="1" customWidth="1"/>
    <col min="50" max="50" width="9.42578125" style="122" bestFit="1" customWidth="1"/>
    <col min="51" max="51" width="10.5703125" style="122" bestFit="1" customWidth="1"/>
    <col min="52" max="54" width="6.42578125" style="122" bestFit="1" customWidth="1"/>
    <col min="55" max="55" width="8.140625" style="122" bestFit="1" customWidth="1"/>
    <col min="56" max="59" width="6.42578125" style="122" bestFit="1" customWidth="1"/>
    <col min="60" max="60" width="9.42578125" style="122" bestFit="1" customWidth="1"/>
    <col min="61" max="61" width="10.5703125" style="122" bestFit="1" customWidth="1"/>
    <col min="62" max="62" width="6.42578125" style="122" bestFit="1" customWidth="1"/>
    <col min="63" max="63" width="9.42578125" style="122" bestFit="1" customWidth="1"/>
    <col min="64" max="64" width="12.140625" style="122" bestFit="1" customWidth="1"/>
    <col min="65" max="65" width="11.42578125" style="122" bestFit="1" customWidth="1"/>
    <col min="66" max="66" width="13.42578125" style="122" bestFit="1" customWidth="1"/>
    <col min="67" max="67" width="13.85546875" style="122" customWidth="1"/>
    <col min="68" max="68" width="14.140625" style="122" customWidth="1"/>
    <col min="69" max="69" width="9.42578125" style="122" customWidth="1"/>
    <col min="70" max="70" width="11.42578125" style="122" customWidth="1"/>
    <col min="71" max="71" width="12.42578125" style="122" customWidth="1"/>
    <col min="72" max="72" width="11.42578125" style="122" customWidth="1"/>
    <col min="73" max="73" width="12.42578125" style="122" customWidth="1"/>
    <col min="74" max="75" width="9.140625" style="122" customWidth="1"/>
    <col min="76" max="76" width="12.42578125" style="122" customWidth="1"/>
    <col min="77" max="77" width="13.85546875" style="122" customWidth="1"/>
    <col min="78" max="78" width="14.5703125" style="122" customWidth="1"/>
    <col min="79" max="79" width="9.140625" style="122" customWidth="1"/>
    <col min="80" max="80" width="11.42578125" style="122" customWidth="1"/>
    <col min="81" max="83" width="12.42578125" style="122" customWidth="1"/>
    <col min="84" max="84" width="9.140625" style="122" customWidth="1"/>
    <col min="85" max="85" width="9" style="122" customWidth="1"/>
    <col min="86" max="86" width="12.42578125" style="122" customWidth="1"/>
    <col min="87" max="87" width="15.5703125" style="122" bestFit="1" customWidth="1"/>
    <col min="88" max="88" width="13.5703125" style="122" customWidth="1"/>
    <col min="89" max="89" width="9.5703125" style="122" bestFit="1" customWidth="1"/>
    <col min="90" max="90" width="10.5703125" style="122" bestFit="1" customWidth="1"/>
    <col min="91" max="91" width="9.42578125" style="122" bestFit="1" customWidth="1"/>
    <col min="92" max="92" width="10.5703125" style="122" bestFit="1" customWidth="1"/>
    <col min="93" max="94" width="6.42578125" style="122" bestFit="1" customWidth="1"/>
    <col min="95" max="95" width="11.5703125" style="122" bestFit="1" customWidth="1"/>
    <col min="96" max="100" width="6.42578125" style="122" bestFit="1" customWidth="1"/>
    <col min="101" max="101" width="9.5703125" style="122" bestFit="1" customWidth="1"/>
    <col min="102" max="102" width="10.5703125" style="122" bestFit="1" customWidth="1"/>
    <col min="103" max="103" width="6.42578125" style="122" bestFit="1" customWidth="1"/>
    <col min="104" max="104" width="11.140625" style="122" customWidth="1"/>
    <col min="105" max="105" width="13.42578125" style="122" bestFit="1" customWidth="1"/>
    <col min="106" max="106" width="12.140625" style="122" bestFit="1" customWidth="1"/>
    <col min="107" max="107" width="10.5703125" style="122" bestFit="1" customWidth="1"/>
    <col min="108" max="108" width="13.42578125" style="122" bestFit="1" customWidth="1"/>
    <col min="109" max="109" width="12.42578125" style="122" bestFit="1" customWidth="1"/>
    <col min="110" max="110" width="12.140625" style="122" bestFit="1" customWidth="1"/>
    <col min="111" max="111" width="9.5703125" style="122" bestFit="1" customWidth="1"/>
    <col min="112" max="112" width="10.5703125" style="122" bestFit="1" customWidth="1"/>
    <col min="113" max="113" width="9" style="122" bestFit="1" customWidth="1"/>
    <col min="114" max="114" width="10.5703125" style="122" bestFit="1" customWidth="1"/>
    <col min="115" max="117" width="6.42578125" style="122" bestFit="1" customWidth="1"/>
    <col min="118" max="118" width="8.140625" style="122" bestFit="1" customWidth="1"/>
    <col min="119" max="122" width="6.42578125" style="122" bestFit="1" customWidth="1"/>
    <col min="123" max="123" width="8.5703125" style="122" bestFit="1" customWidth="1"/>
    <col min="124" max="124" width="10" style="122" bestFit="1" customWidth="1"/>
    <col min="125" max="125" width="6.42578125" style="122" bestFit="1" customWidth="1"/>
    <col min="126" max="126" width="9" style="122" bestFit="1" customWidth="1"/>
    <col min="127" max="127" width="12.140625" style="122" bestFit="1" customWidth="1"/>
    <col min="128" max="128" width="11.42578125" style="122" bestFit="1" customWidth="1"/>
    <col min="129" max="129" width="13.7109375" style="122" customWidth="1"/>
    <col min="130" max="16384" width="9.140625" style="122"/>
  </cols>
  <sheetData>
    <row r="1" spans="2:129" s="3" customFormat="1" ht="18" x14ac:dyDescent="0.25">
      <c r="B1" s="55"/>
      <c r="C1" s="15"/>
      <c r="D1" s="68"/>
      <c r="E1" s="68"/>
      <c r="F1" s="15"/>
      <c r="G1" s="15"/>
      <c r="H1" s="15"/>
      <c r="I1" s="15"/>
      <c r="J1" s="18"/>
      <c r="K1" s="15"/>
      <c r="L1" s="15"/>
      <c r="M1" s="16"/>
      <c r="N1" s="16"/>
      <c r="O1" s="16"/>
      <c r="P1" s="69"/>
      <c r="Q1" s="16"/>
      <c r="R1" s="16"/>
      <c r="S1" s="16"/>
      <c r="T1" s="16"/>
      <c r="U1" s="16"/>
      <c r="V1" s="15"/>
      <c r="W1" s="16"/>
      <c r="X1" s="16"/>
      <c r="Y1" s="16"/>
      <c r="Z1" s="16"/>
      <c r="AA1" s="16"/>
      <c r="AB1" s="16"/>
      <c r="AC1" s="16"/>
      <c r="AD1" s="16"/>
      <c r="AE1" s="16"/>
      <c r="AF1" s="16"/>
      <c r="AG1" s="16"/>
      <c r="AH1" s="16"/>
      <c r="AI1" s="16"/>
      <c r="AJ1" s="16"/>
      <c r="AK1" s="16"/>
      <c r="AL1" s="16"/>
      <c r="AM1" s="16"/>
      <c r="AN1" s="16"/>
      <c r="AO1" s="16"/>
      <c r="AP1" s="16"/>
      <c r="AQ1" s="16"/>
      <c r="AR1" s="16"/>
      <c r="AS1" s="16"/>
      <c r="AT1" s="16"/>
      <c r="AU1" s="136"/>
      <c r="AV1" s="136"/>
      <c r="AW1" s="136"/>
      <c r="AX1" s="136"/>
      <c r="AY1" s="136"/>
      <c r="AZ1" s="136"/>
      <c r="BA1" s="136"/>
      <c r="BB1" s="16"/>
      <c r="BC1" s="16"/>
      <c r="BD1" s="16"/>
      <c r="BE1" s="16"/>
      <c r="BF1" s="16"/>
      <c r="BG1" s="16"/>
      <c r="BH1" s="16"/>
      <c r="BI1" s="16"/>
      <c r="BJ1" s="16"/>
      <c r="BK1" s="16"/>
      <c r="BL1" s="16"/>
      <c r="BM1" s="15"/>
      <c r="BN1" s="16"/>
      <c r="BO1" s="16"/>
      <c r="BP1" s="16"/>
      <c r="BQ1" s="16"/>
      <c r="BR1" s="16"/>
      <c r="BS1" s="16"/>
      <c r="BT1" s="16"/>
      <c r="BU1" s="16"/>
      <c r="BV1" s="16"/>
      <c r="BW1" s="16"/>
      <c r="CI1" s="16"/>
      <c r="CJ1" s="16"/>
      <c r="CK1" s="16"/>
      <c r="CL1" s="16"/>
      <c r="CM1" s="16"/>
      <c r="CN1" s="16"/>
      <c r="CO1" s="16"/>
      <c r="CP1" s="16"/>
      <c r="CQ1" s="16"/>
      <c r="CR1" s="16"/>
      <c r="CS1" s="16"/>
      <c r="CT1" s="16"/>
      <c r="CU1" s="16"/>
      <c r="CV1" s="16"/>
      <c r="CW1" s="16"/>
      <c r="CX1" s="16"/>
      <c r="CY1" s="16"/>
      <c r="CZ1" s="16"/>
      <c r="DA1" s="16"/>
      <c r="DB1" s="16"/>
      <c r="DC1" s="16"/>
      <c r="DD1" s="16"/>
      <c r="DE1" s="16"/>
      <c r="DF1" s="136"/>
      <c r="DG1" s="136"/>
      <c r="DH1" s="136"/>
      <c r="DI1" s="136"/>
      <c r="DJ1" s="136"/>
      <c r="DK1" s="136"/>
      <c r="DL1" s="136"/>
      <c r="DM1" s="16"/>
      <c r="DN1" s="16"/>
      <c r="DO1" s="16"/>
      <c r="DP1" s="16"/>
      <c r="DQ1" s="16"/>
      <c r="DR1" s="16"/>
      <c r="DS1" s="16"/>
      <c r="DT1" s="16"/>
      <c r="DU1" s="16"/>
      <c r="DV1" s="16"/>
      <c r="DW1" s="16"/>
      <c r="DX1" s="15"/>
      <c r="DY1" s="16"/>
    </row>
    <row r="2" spans="2:129" s="3" customFormat="1" ht="12.75" x14ac:dyDescent="0.2">
      <c r="B2" s="56" t="s">
        <v>7</v>
      </c>
      <c r="C2" s="16"/>
      <c r="D2" s="16"/>
      <c r="E2" s="16"/>
      <c r="F2" s="16"/>
      <c r="G2" s="16"/>
      <c r="H2" s="16"/>
      <c r="I2" s="16"/>
      <c r="J2" s="18"/>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36"/>
      <c r="AV2" s="136"/>
      <c r="AW2" s="136"/>
      <c r="AX2" s="136"/>
      <c r="AY2" s="136"/>
      <c r="AZ2" s="136"/>
      <c r="BA2" s="136"/>
      <c r="BB2" s="16"/>
      <c r="BC2" s="16"/>
      <c r="BD2" s="16"/>
      <c r="BE2" s="16"/>
      <c r="BF2" s="16"/>
      <c r="BG2" s="16"/>
      <c r="BH2" s="16"/>
      <c r="BI2" s="16"/>
      <c r="BJ2" s="16"/>
      <c r="BK2" s="16"/>
      <c r="BL2" s="16"/>
      <c r="BM2" s="16"/>
      <c r="BN2" s="16"/>
      <c r="BO2" s="16"/>
      <c r="BP2" s="16"/>
      <c r="BQ2" s="16"/>
      <c r="BR2" s="16"/>
      <c r="BS2" s="16"/>
      <c r="BT2" s="16"/>
      <c r="BU2" s="16"/>
      <c r="BV2" s="16"/>
      <c r="BW2" s="16"/>
      <c r="CI2" s="16"/>
      <c r="CJ2" s="16"/>
      <c r="CK2" s="16"/>
      <c r="CL2" s="16"/>
      <c r="CM2" s="16"/>
      <c r="CN2" s="16"/>
      <c r="CO2" s="16"/>
      <c r="CP2" s="16"/>
      <c r="CQ2" s="16"/>
      <c r="CR2" s="16"/>
      <c r="CS2" s="16"/>
      <c r="CT2" s="16"/>
      <c r="CU2" s="16"/>
      <c r="CV2" s="16"/>
      <c r="CW2" s="16"/>
      <c r="CX2" s="16"/>
      <c r="CY2" s="16"/>
      <c r="CZ2" s="16"/>
      <c r="DA2" s="16"/>
      <c r="DB2" s="16"/>
      <c r="DC2" s="16"/>
      <c r="DD2" s="16"/>
      <c r="DE2" s="16"/>
      <c r="DF2" s="136"/>
      <c r="DG2" s="136"/>
      <c r="DH2" s="136"/>
      <c r="DI2" s="136"/>
      <c r="DJ2" s="136"/>
      <c r="DK2" s="136"/>
      <c r="DL2" s="136"/>
      <c r="DM2" s="16"/>
      <c r="DN2" s="16"/>
      <c r="DO2" s="16"/>
      <c r="DP2" s="16"/>
      <c r="DQ2" s="16"/>
      <c r="DR2" s="16"/>
      <c r="DS2" s="16"/>
      <c r="DT2" s="16"/>
      <c r="DU2" s="16"/>
      <c r="DV2" s="16"/>
      <c r="DW2" s="16"/>
      <c r="DX2" s="16"/>
      <c r="DY2" s="16"/>
    </row>
    <row r="3" spans="2:129" s="3" customFormat="1" ht="12.75" x14ac:dyDescent="0.2">
      <c r="B3" s="70" t="s">
        <v>25</v>
      </c>
      <c r="C3" s="58"/>
      <c r="D3" s="58"/>
      <c r="E3" s="58"/>
      <c r="F3" s="16"/>
      <c r="G3" s="16"/>
      <c r="H3" s="16"/>
      <c r="I3" s="16"/>
      <c r="J3" s="18"/>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36"/>
      <c r="AV3" s="136"/>
      <c r="AW3" s="136"/>
      <c r="AX3" s="136"/>
      <c r="AY3" s="136"/>
      <c r="AZ3" s="136"/>
      <c r="BA3" s="136"/>
      <c r="BB3" s="16"/>
      <c r="BC3" s="16"/>
      <c r="BD3" s="16"/>
      <c r="BE3" s="16"/>
      <c r="BF3" s="16"/>
      <c r="BG3" s="16"/>
      <c r="BH3" s="16"/>
      <c r="BI3" s="16"/>
      <c r="BJ3" s="16"/>
      <c r="BK3" s="16"/>
      <c r="BL3" s="16"/>
      <c r="BM3" s="16"/>
      <c r="BN3" s="16"/>
      <c r="BO3" s="16"/>
      <c r="BP3" s="16"/>
      <c r="BQ3" s="16"/>
      <c r="BR3" s="16"/>
      <c r="BS3" s="16"/>
      <c r="BT3" s="16"/>
      <c r="BU3" s="16"/>
      <c r="BV3" s="16"/>
      <c r="BW3" s="16"/>
      <c r="CI3" s="16"/>
      <c r="CJ3" s="16"/>
      <c r="CK3" s="16"/>
      <c r="CL3" s="16"/>
      <c r="CM3" s="16"/>
      <c r="CN3" s="16"/>
      <c r="CO3" s="16"/>
      <c r="CP3" s="16"/>
      <c r="CQ3" s="16"/>
      <c r="CR3" s="16"/>
      <c r="CS3" s="16"/>
      <c r="CT3" s="16"/>
      <c r="CU3" s="16"/>
      <c r="CV3" s="16"/>
      <c r="CW3" s="16"/>
      <c r="CX3" s="16"/>
      <c r="CY3" s="16"/>
      <c r="CZ3" s="16"/>
      <c r="DA3" s="16"/>
      <c r="DB3" s="16"/>
      <c r="DC3" s="16"/>
      <c r="DD3" s="16"/>
      <c r="DE3" s="16"/>
      <c r="DF3" s="136"/>
      <c r="DG3" s="136"/>
      <c r="DH3" s="136"/>
      <c r="DI3" s="136"/>
      <c r="DJ3" s="136"/>
      <c r="DK3" s="136"/>
      <c r="DL3" s="136"/>
      <c r="DM3" s="16"/>
      <c r="DN3" s="16"/>
      <c r="DO3" s="16"/>
      <c r="DP3" s="16"/>
      <c r="DQ3" s="16"/>
      <c r="DR3" s="16"/>
      <c r="DS3" s="16"/>
      <c r="DT3" s="16"/>
      <c r="DU3" s="16"/>
      <c r="DV3" s="16"/>
      <c r="DW3" s="16"/>
      <c r="DX3" s="16"/>
      <c r="DY3" s="16"/>
    </row>
    <row r="4" spans="2:129" s="3" customFormat="1" x14ac:dyDescent="0.25">
      <c r="B4" s="56" t="s">
        <v>8</v>
      </c>
      <c r="C4" s="16"/>
      <c r="D4" s="16"/>
      <c r="E4" s="16"/>
      <c r="F4" s="16"/>
      <c r="G4" s="16"/>
      <c r="H4" s="57"/>
      <c r="I4" s="57"/>
      <c r="J4" s="18"/>
      <c r="K4" s="16"/>
      <c r="L4" s="16"/>
      <c r="M4" s="16"/>
      <c r="N4" s="57"/>
      <c r="O4" s="57"/>
      <c r="P4" s="71"/>
      <c r="Q4" s="71"/>
      <c r="R4" s="18"/>
      <c r="S4" s="18"/>
      <c r="T4" s="16"/>
      <c r="U4" s="18"/>
      <c r="V4" s="16"/>
      <c r="W4" s="16"/>
      <c r="X4" s="18"/>
      <c r="Y4" s="18"/>
      <c r="Z4" s="18"/>
      <c r="AA4" s="18"/>
      <c r="AB4" s="18"/>
      <c r="AC4" s="18"/>
      <c r="AD4" s="18"/>
      <c r="AE4" s="18"/>
      <c r="AF4" s="18"/>
      <c r="AG4" s="18"/>
      <c r="AH4" s="18"/>
      <c r="AI4" s="18"/>
      <c r="AJ4" s="18"/>
      <c r="AK4" s="18"/>
      <c r="AL4" s="18"/>
      <c r="AM4" s="18"/>
      <c r="AN4" s="18"/>
      <c r="AO4" s="18"/>
      <c r="AP4" s="18"/>
      <c r="AQ4" s="18"/>
      <c r="AR4" s="18"/>
      <c r="AS4" s="18"/>
      <c r="AT4" s="18"/>
      <c r="AU4" s="137"/>
      <c r="AV4" s="137"/>
      <c r="AW4" s="137"/>
      <c r="AX4" s="137"/>
      <c r="AY4" s="137"/>
      <c r="AZ4" s="137"/>
      <c r="BA4" s="137"/>
      <c r="BB4" s="18"/>
      <c r="BC4" s="18"/>
      <c r="BD4" s="18"/>
      <c r="BE4" s="18"/>
      <c r="BF4" s="18"/>
      <c r="BG4" s="18"/>
      <c r="BH4" s="18"/>
      <c r="BI4" s="18"/>
      <c r="BJ4" s="18"/>
      <c r="BK4" s="18"/>
      <c r="BL4" s="18"/>
      <c r="BM4" s="16"/>
      <c r="BN4" s="16"/>
      <c r="BO4" s="17"/>
      <c r="BP4" s="16"/>
      <c r="BQ4" s="16"/>
      <c r="BR4" s="16"/>
      <c r="BS4" s="16"/>
      <c r="BT4" s="16"/>
      <c r="BU4" s="16"/>
      <c r="BV4" s="16"/>
      <c r="BW4" s="16"/>
      <c r="CI4" s="18"/>
      <c r="CJ4" s="18"/>
      <c r="CK4" s="18"/>
      <c r="CL4" s="18"/>
      <c r="CM4" s="18"/>
      <c r="CN4" s="18"/>
      <c r="CO4" s="18"/>
      <c r="CP4" s="18"/>
      <c r="CQ4" s="18"/>
      <c r="CR4" s="18"/>
      <c r="CS4" s="18"/>
      <c r="CT4" s="18"/>
      <c r="CU4" s="18"/>
      <c r="CV4" s="18"/>
      <c r="CW4" s="18"/>
      <c r="CX4" s="18"/>
      <c r="CY4" s="18"/>
      <c r="CZ4" s="18"/>
      <c r="DA4" s="18"/>
      <c r="DB4" s="18"/>
      <c r="DC4" s="18"/>
      <c r="DD4" s="18"/>
      <c r="DE4" s="18"/>
      <c r="DF4" s="137"/>
      <c r="DG4" s="137"/>
      <c r="DH4" s="137"/>
      <c r="DI4" s="137"/>
      <c r="DJ4" s="137"/>
      <c r="DK4" s="137"/>
      <c r="DL4" s="137"/>
      <c r="DM4" s="18"/>
      <c r="DN4" s="18"/>
      <c r="DO4" s="18"/>
      <c r="DP4" s="18"/>
      <c r="DQ4" s="18"/>
      <c r="DR4" s="18"/>
      <c r="DS4" s="18"/>
      <c r="DT4" s="18"/>
      <c r="DU4" s="18"/>
      <c r="DV4" s="18"/>
      <c r="DW4" s="18"/>
      <c r="DX4" s="16"/>
      <c r="DY4" s="16"/>
    </row>
    <row r="5" spans="2:129" s="3" customFormat="1" ht="12.75" x14ac:dyDescent="0.2">
      <c r="B5" s="70" t="s">
        <v>30</v>
      </c>
      <c r="C5" s="58"/>
      <c r="D5" s="58"/>
      <c r="E5" s="58"/>
      <c r="F5" s="16"/>
      <c r="G5" s="16"/>
      <c r="H5" s="58"/>
      <c r="I5" s="58"/>
      <c r="J5" s="18"/>
      <c r="K5" s="58"/>
      <c r="L5" s="58"/>
      <c r="M5" s="58"/>
      <c r="N5" s="57"/>
      <c r="O5" s="57"/>
      <c r="P5" s="19"/>
      <c r="Q5" s="19"/>
      <c r="R5" s="19"/>
      <c r="S5" s="19"/>
      <c r="T5" s="16"/>
      <c r="U5" s="19"/>
      <c r="V5" s="58"/>
      <c r="W5" s="58"/>
      <c r="X5" s="19"/>
      <c r="Y5" s="19"/>
      <c r="Z5" s="19"/>
      <c r="AA5" s="19"/>
      <c r="AB5" s="19"/>
      <c r="AC5" s="19"/>
      <c r="AD5" s="19"/>
      <c r="AE5" s="19"/>
      <c r="AF5" s="19"/>
      <c r="AG5" s="19"/>
      <c r="AH5" s="19"/>
      <c r="AI5" s="19"/>
      <c r="AJ5" s="19"/>
      <c r="AK5" s="19"/>
      <c r="AL5" s="19"/>
      <c r="AM5" s="19"/>
      <c r="AN5" s="19"/>
      <c r="AO5" s="19"/>
      <c r="AP5" s="19"/>
      <c r="AQ5" s="19"/>
      <c r="AR5" s="19"/>
      <c r="AS5" s="19"/>
      <c r="AT5" s="19"/>
      <c r="AU5" s="138"/>
      <c r="AV5" s="138"/>
      <c r="AW5" s="138"/>
      <c r="AX5" s="138"/>
      <c r="AY5" s="138"/>
      <c r="AZ5" s="138"/>
      <c r="BA5" s="138"/>
      <c r="BB5" s="19"/>
      <c r="BC5" s="19"/>
      <c r="BD5" s="19"/>
      <c r="BE5" s="19"/>
      <c r="BF5" s="19"/>
      <c r="BG5" s="19"/>
      <c r="BH5" s="19"/>
      <c r="BI5" s="19"/>
      <c r="BJ5" s="19"/>
      <c r="BK5" s="19"/>
      <c r="BL5" s="19"/>
      <c r="BM5" s="58"/>
      <c r="BN5" s="58"/>
      <c r="BO5" s="17"/>
      <c r="BP5" s="16"/>
      <c r="BQ5" s="16"/>
      <c r="BR5" s="16"/>
      <c r="BS5" s="16"/>
      <c r="BT5" s="16"/>
      <c r="BU5" s="16"/>
      <c r="BV5" s="16"/>
      <c r="BW5" s="16"/>
      <c r="CI5" s="19"/>
      <c r="CJ5" s="19"/>
      <c r="CK5" s="19"/>
      <c r="CL5" s="19"/>
      <c r="CM5" s="19"/>
      <c r="CN5" s="19"/>
      <c r="CO5" s="19"/>
      <c r="CP5" s="19"/>
      <c r="CQ5" s="19"/>
      <c r="CR5" s="19"/>
      <c r="CS5" s="19"/>
      <c r="CT5" s="19"/>
      <c r="CU5" s="19"/>
      <c r="CV5" s="19"/>
      <c r="CW5" s="19"/>
      <c r="CX5" s="19"/>
      <c r="CY5" s="19"/>
      <c r="CZ5" s="19"/>
      <c r="DA5" s="19"/>
      <c r="DB5" s="19"/>
      <c r="DC5" s="19"/>
      <c r="DD5" s="19"/>
      <c r="DE5" s="19"/>
      <c r="DF5" s="138"/>
      <c r="DG5" s="138"/>
      <c r="DH5" s="138"/>
      <c r="DI5" s="138"/>
      <c r="DJ5" s="138"/>
      <c r="DK5" s="138"/>
      <c r="DL5" s="138"/>
      <c r="DM5" s="19"/>
      <c r="DN5" s="19"/>
      <c r="DO5" s="19"/>
      <c r="DP5" s="19"/>
      <c r="DQ5" s="19"/>
      <c r="DR5" s="19"/>
      <c r="DS5" s="19"/>
      <c r="DT5" s="19"/>
      <c r="DU5" s="19"/>
      <c r="DV5" s="19"/>
      <c r="DW5" s="19"/>
      <c r="DX5" s="58"/>
      <c r="DY5" s="58"/>
    </row>
    <row r="6" spans="2:129" s="3" customFormat="1" ht="12.75" x14ac:dyDescent="0.2">
      <c r="B6" s="56" t="s">
        <v>9</v>
      </c>
      <c r="C6" s="16"/>
      <c r="D6" s="59"/>
      <c r="E6" s="60"/>
      <c r="F6" s="16"/>
      <c r="G6" s="16"/>
      <c r="H6" s="16"/>
      <c r="I6" s="16"/>
      <c r="J6" s="18"/>
      <c r="K6" s="16"/>
      <c r="L6" s="16"/>
      <c r="M6" s="16"/>
      <c r="N6" s="57"/>
      <c r="O6" s="57"/>
      <c r="P6" s="72"/>
      <c r="Q6" s="72"/>
      <c r="R6" s="18"/>
      <c r="S6" s="18"/>
      <c r="T6" s="16"/>
      <c r="U6" s="72"/>
      <c r="V6" s="16"/>
      <c r="W6" s="16"/>
      <c r="X6" s="18"/>
      <c r="Y6" s="72"/>
      <c r="Z6" s="72"/>
      <c r="AA6" s="72"/>
      <c r="AB6" s="72"/>
      <c r="AC6" s="72"/>
      <c r="AD6" s="72"/>
      <c r="AE6" s="72"/>
      <c r="AF6" s="72"/>
      <c r="AG6" s="72"/>
      <c r="AH6" s="72"/>
      <c r="AI6" s="72"/>
      <c r="AJ6" s="72"/>
      <c r="AK6" s="72"/>
      <c r="AL6" s="72"/>
      <c r="AM6" s="72"/>
      <c r="AN6" s="72"/>
      <c r="AO6" s="72"/>
      <c r="AP6" s="18"/>
      <c r="AQ6" s="18"/>
      <c r="AR6" s="18"/>
      <c r="AS6" s="72"/>
      <c r="AT6" s="72"/>
      <c r="AU6" s="139"/>
      <c r="AV6" s="139"/>
      <c r="AW6" s="139"/>
      <c r="AX6" s="139"/>
      <c r="AY6" s="139"/>
      <c r="AZ6" s="139"/>
      <c r="BA6" s="139"/>
      <c r="BB6" s="72"/>
      <c r="BC6" s="72"/>
      <c r="BD6" s="72"/>
      <c r="BE6" s="72"/>
      <c r="BF6" s="72"/>
      <c r="BG6" s="72"/>
      <c r="BH6" s="72"/>
      <c r="BI6" s="72"/>
      <c r="BJ6" s="72"/>
      <c r="BK6" s="72"/>
      <c r="BL6" s="72"/>
      <c r="BM6" s="16"/>
      <c r="BN6" s="16"/>
      <c r="BO6" s="17"/>
      <c r="BP6" s="16"/>
      <c r="BQ6" s="16"/>
      <c r="BR6" s="16"/>
      <c r="BS6" s="16"/>
      <c r="BT6" s="16"/>
      <c r="BU6" s="16"/>
      <c r="BV6" s="16"/>
      <c r="BW6" s="16"/>
      <c r="CI6" s="18"/>
      <c r="CJ6" s="72"/>
      <c r="CK6" s="72"/>
      <c r="CL6" s="72"/>
      <c r="CM6" s="72"/>
      <c r="CN6" s="72"/>
      <c r="CO6" s="72"/>
      <c r="CP6" s="72"/>
      <c r="CQ6" s="72"/>
      <c r="CR6" s="72"/>
      <c r="CS6" s="72"/>
      <c r="CT6" s="72"/>
      <c r="CU6" s="72"/>
      <c r="CV6" s="72"/>
      <c r="CW6" s="72"/>
      <c r="CX6" s="72"/>
      <c r="CY6" s="72"/>
      <c r="CZ6" s="72"/>
      <c r="DA6" s="18"/>
      <c r="DB6" s="18"/>
      <c r="DC6" s="18"/>
      <c r="DD6" s="72"/>
      <c r="DE6" s="72"/>
      <c r="DF6" s="139"/>
      <c r="DG6" s="139"/>
      <c r="DH6" s="139"/>
      <c r="DI6" s="139"/>
      <c r="DJ6" s="139"/>
      <c r="DK6" s="139"/>
      <c r="DL6" s="139"/>
      <c r="DM6" s="72"/>
      <c r="DN6" s="72"/>
      <c r="DO6" s="72"/>
      <c r="DP6" s="580">
        <f>'OBC PV Costs'!$DA$27</f>
        <v>5125587.453411852</v>
      </c>
      <c r="DQ6" s="72"/>
      <c r="DR6" s="72"/>
      <c r="DS6" s="72"/>
      <c r="DT6" s="72"/>
      <c r="DU6" s="72"/>
      <c r="DV6" s="72"/>
      <c r="DW6" s="72"/>
      <c r="DX6" s="16"/>
      <c r="DY6" s="16"/>
    </row>
    <row r="7" spans="2:129" s="3" customFormat="1" ht="12.75" x14ac:dyDescent="0.2">
      <c r="B7" s="61" t="s">
        <v>10</v>
      </c>
      <c r="C7" s="16"/>
      <c r="D7" s="16"/>
      <c r="E7" s="62">
        <v>43101</v>
      </c>
      <c r="F7" s="16"/>
      <c r="G7" s="16"/>
      <c r="H7" s="16"/>
      <c r="I7" s="16"/>
      <c r="J7" s="18"/>
      <c r="K7" s="16"/>
      <c r="L7" s="16"/>
      <c r="M7" s="16"/>
      <c r="N7" s="57"/>
      <c r="O7" s="57"/>
      <c r="P7" s="72"/>
      <c r="Q7" s="72"/>
      <c r="R7" s="18"/>
      <c r="S7" s="18"/>
      <c r="T7" s="16"/>
      <c r="U7" s="72"/>
      <c r="V7" s="16"/>
      <c r="W7" s="16"/>
      <c r="X7" s="18"/>
      <c r="Y7" s="72"/>
      <c r="Z7" s="72"/>
      <c r="AA7" s="72"/>
      <c r="AB7" s="72"/>
      <c r="AC7" s="72"/>
      <c r="AD7" s="72"/>
      <c r="AE7" s="72"/>
      <c r="AF7" s="72"/>
      <c r="AG7" s="72"/>
      <c r="AH7" s="72"/>
      <c r="AI7" s="72"/>
      <c r="AJ7" s="72"/>
      <c r="AK7" s="72"/>
      <c r="AL7" s="72"/>
      <c r="AM7" s="72"/>
      <c r="AN7" s="72"/>
      <c r="AO7" s="72"/>
      <c r="AP7" s="18"/>
      <c r="AQ7" s="18"/>
      <c r="AR7" s="18"/>
      <c r="AS7" s="72"/>
      <c r="AT7" s="72"/>
      <c r="AU7" s="72"/>
      <c r="AV7" s="72"/>
      <c r="AW7" s="72"/>
      <c r="AX7" s="72"/>
      <c r="AY7" s="72"/>
      <c r="AZ7" s="72"/>
      <c r="BA7" s="72"/>
      <c r="BB7" s="72"/>
      <c r="BC7" s="72"/>
      <c r="BD7" s="72"/>
      <c r="BE7" s="72"/>
      <c r="BF7" s="72"/>
      <c r="BG7" s="72"/>
      <c r="BH7" s="72"/>
      <c r="BI7" s="72"/>
      <c r="BJ7" s="72"/>
      <c r="BK7" s="72"/>
      <c r="BL7" s="72"/>
      <c r="BM7" s="16"/>
      <c r="BN7" s="16"/>
      <c r="BO7" s="17"/>
      <c r="BP7" s="16"/>
      <c r="BQ7" s="16"/>
      <c r="BR7" s="16"/>
      <c r="BS7" s="16"/>
      <c r="BT7" s="16"/>
      <c r="BU7" s="16"/>
      <c r="BV7" s="16"/>
      <c r="BW7" s="16"/>
      <c r="CI7" s="18"/>
      <c r="CJ7" s="72"/>
      <c r="CK7" s="72"/>
      <c r="CL7" s="72"/>
      <c r="CM7" s="72"/>
      <c r="CN7" s="72"/>
      <c r="CO7" s="72"/>
      <c r="CP7" s="72"/>
      <c r="CQ7" s="72"/>
      <c r="CR7" s="72"/>
      <c r="CS7" s="72"/>
      <c r="CT7" s="72"/>
      <c r="CU7" s="72"/>
      <c r="CV7" s="72"/>
      <c r="CW7" s="72"/>
      <c r="CX7" s="72"/>
      <c r="CY7" s="72"/>
      <c r="CZ7" s="72"/>
      <c r="DA7" s="18"/>
      <c r="DB7" s="18"/>
      <c r="DC7" s="18"/>
      <c r="DD7" s="72"/>
      <c r="DE7" s="72"/>
      <c r="DF7" s="72"/>
      <c r="DG7" s="72"/>
      <c r="DH7" s="72"/>
      <c r="DI7" s="72"/>
      <c r="DJ7" s="72"/>
      <c r="DK7" s="72"/>
      <c r="DL7" s="72"/>
      <c r="DM7" s="72"/>
      <c r="DN7" s="72"/>
      <c r="DO7" s="72"/>
      <c r="DP7" s="72"/>
      <c r="DQ7" s="72"/>
      <c r="DR7" s="72"/>
      <c r="DS7" s="72"/>
      <c r="DT7" s="72"/>
      <c r="DU7" s="72"/>
      <c r="DV7" s="72"/>
      <c r="DW7" s="72"/>
      <c r="DX7" s="16"/>
      <c r="DY7" s="16"/>
    </row>
    <row r="8" spans="2:129" s="3" customFormat="1" ht="12.75" x14ac:dyDescent="0.2">
      <c r="B8" s="61" t="s">
        <v>11</v>
      </c>
      <c r="C8" s="16"/>
      <c r="D8" s="16"/>
      <c r="E8" s="60" t="s">
        <v>29</v>
      </c>
      <c r="F8" s="16"/>
      <c r="G8" s="16"/>
      <c r="H8" s="16"/>
      <c r="I8" s="16"/>
      <c r="J8" s="18"/>
      <c r="K8" s="16"/>
      <c r="L8" s="16"/>
      <c r="M8" s="16"/>
      <c r="N8" s="57"/>
      <c r="O8" s="57"/>
      <c r="P8" s="73"/>
      <c r="Q8" s="73"/>
      <c r="R8" s="63"/>
      <c r="S8" s="63"/>
      <c r="T8" s="16"/>
      <c r="U8" s="73"/>
      <c r="V8" s="16"/>
      <c r="W8" s="16"/>
      <c r="X8" s="63"/>
      <c r="Y8" s="73"/>
      <c r="Z8" s="73"/>
      <c r="AA8" s="73"/>
      <c r="AB8" s="73"/>
      <c r="AC8" s="73"/>
      <c r="AD8" s="73"/>
      <c r="AE8" s="73"/>
      <c r="AF8" s="73"/>
      <c r="AG8" s="73"/>
      <c r="AH8" s="73"/>
      <c r="AI8" s="73"/>
      <c r="AJ8" s="73"/>
      <c r="AK8" s="73"/>
      <c r="AL8" s="73"/>
      <c r="AM8" s="73"/>
      <c r="AN8" s="73"/>
      <c r="AO8" s="73"/>
      <c r="AP8" s="63"/>
      <c r="AQ8" s="63"/>
      <c r="AR8" s="18"/>
      <c r="AS8" s="73"/>
      <c r="AT8" s="73"/>
      <c r="AU8" s="73"/>
      <c r="AV8" s="73"/>
      <c r="AW8" s="73"/>
      <c r="AX8" s="73"/>
      <c r="AY8" s="73"/>
      <c r="AZ8" s="73"/>
      <c r="BA8" s="73"/>
      <c r="BB8" s="73"/>
      <c r="BC8" s="73"/>
      <c r="BD8" s="73"/>
      <c r="BE8" s="73"/>
      <c r="BF8" s="73"/>
      <c r="BG8" s="73"/>
      <c r="BH8" s="73"/>
      <c r="BI8" s="73"/>
      <c r="BJ8" s="73"/>
      <c r="BK8" s="73"/>
      <c r="BL8" s="73"/>
      <c r="BM8" s="16"/>
      <c r="BN8" s="16"/>
      <c r="BO8" s="17"/>
      <c r="BP8" s="18"/>
      <c r="BQ8" s="18"/>
      <c r="BR8" s="18"/>
      <c r="BS8" s="16"/>
      <c r="BT8" s="16"/>
      <c r="BU8" s="16"/>
      <c r="BV8" s="16"/>
      <c r="BW8" s="16"/>
      <c r="CI8" s="63"/>
      <c r="CJ8" s="73"/>
      <c r="CK8" s="73"/>
      <c r="CL8" s="73"/>
      <c r="CM8" s="73"/>
      <c r="CN8" s="73"/>
      <c r="CO8" s="73"/>
      <c r="CP8" s="73"/>
      <c r="CQ8" s="73"/>
      <c r="CR8" s="73"/>
      <c r="CS8" s="73"/>
      <c r="CT8" s="73"/>
      <c r="CU8" s="73"/>
      <c r="CV8" s="73"/>
      <c r="CW8" s="73"/>
      <c r="CX8" s="73"/>
      <c r="CY8" s="73"/>
      <c r="CZ8" s="73"/>
      <c r="DA8" s="63"/>
      <c r="DB8" s="63"/>
      <c r="DC8" s="18"/>
      <c r="DD8" s="73"/>
      <c r="DE8" s="73"/>
      <c r="DF8" s="73"/>
      <c r="DG8" s="73"/>
      <c r="DH8" s="73"/>
      <c r="DI8" s="73"/>
      <c r="DJ8" s="73"/>
      <c r="DK8" s="73"/>
      <c r="DL8" s="73"/>
      <c r="DM8" s="73"/>
      <c r="DN8" s="73"/>
      <c r="DO8" s="73"/>
      <c r="DP8" s="73"/>
      <c r="DQ8" s="73"/>
      <c r="DR8" s="73"/>
      <c r="DS8" s="73"/>
      <c r="DT8" s="73"/>
      <c r="DU8" s="73"/>
      <c r="DV8" s="73"/>
      <c r="DW8" s="73"/>
      <c r="DX8" s="16"/>
      <c r="DY8" s="16"/>
    </row>
    <row r="9" spans="2:129" s="3" customFormat="1" ht="13.5" thickBot="1" x14ac:dyDescent="0.25">
      <c r="B9" s="64" t="s">
        <v>12</v>
      </c>
      <c r="C9" s="57"/>
      <c r="D9" s="57"/>
      <c r="E9" s="65">
        <v>3.5000000000000003E-2</v>
      </c>
      <c r="F9" s="18"/>
      <c r="G9" s="18"/>
      <c r="H9" s="16"/>
      <c r="I9" s="16"/>
      <c r="J9" s="18"/>
      <c r="K9" s="16"/>
      <c r="L9" s="16"/>
      <c r="M9" s="16"/>
      <c r="N9" s="66"/>
      <c r="O9" s="66"/>
      <c r="P9" s="67"/>
      <c r="Q9" s="67"/>
      <c r="R9" s="67"/>
      <c r="S9" s="67"/>
      <c r="T9" s="16"/>
      <c r="U9" s="74"/>
      <c r="V9" s="16"/>
      <c r="W9" s="16"/>
      <c r="X9" s="67"/>
      <c r="Y9" s="74"/>
      <c r="Z9" s="74"/>
      <c r="AA9" s="74"/>
      <c r="AB9" s="74"/>
      <c r="AC9" s="74"/>
      <c r="AD9" s="74"/>
      <c r="AE9" s="74"/>
      <c r="AF9" s="74"/>
      <c r="AG9" s="74"/>
      <c r="AH9" s="74"/>
      <c r="AI9" s="74"/>
      <c r="AJ9" s="74"/>
      <c r="AK9" s="74"/>
      <c r="AL9" s="74"/>
      <c r="AM9" s="74"/>
      <c r="AN9" s="74"/>
      <c r="AO9" s="74"/>
      <c r="AP9" s="67"/>
      <c r="AQ9" s="67"/>
      <c r="AR9" s="67"/>
      <c r="AS9" s="74"/>
      <c r="AT9" s="436"/>
      <c r="AU9" s="74"/>
      <c r="AV9" s="74"/>
      <c r="AW9" s="74"/>
      <c r="AX9" s="74"/>
      <c r="AY9" s="74"/>
      <c r="AZ9" s="74"/>
      <c r="BA9" s="74"/>
      <c r="BB9" s="19"/>
      <c r="BC9" s="19"/>
      <c r="BD9" s="19"/>
      <c r="BE9" s="19"/>
      <c r="BF9" s="19"/>
      <c r="BG9" s="19"/>
      <c r="BH9" s="19"/>
      <c r="BI9" s="19"/>
      <c r="BJ9" s="19"/>
      <c r="BK9" s="19"/>
      <c r="BL9" s="19"/>
      <c r="BM9" s="16"/>
      <c r="BN9" s="16"/>
      <c r="BO9" s="16"/>
      <c r="BP9" s="18"/>
      <c r="BQ9" s="18"/>
      <c r="BR9" s="18"/>
      <c r="BS9" s="16"/>
      <c r="BT9" s="16"/>
      <c r="BU9" s="16"/>
      <c r="BV9" s="16"/>
      <c r="BW9" s="16"/>
      <c r="CI9" s="67"/>
      <c r="CJ9" s="74"/>
      <c r="CK9" s="74"/>
      <c r="CL9" s="74"/>
      <c r="CM9" s="74"/>
      <c r="CN9" s="74"/>
      <c r="CO9" s="74"/>
      <c r="CP9" s="74"/>
      <c r="CQ9" s="74"/>
      <c r="CR9" s="74"/>
      <c r="CS9" s="74"/>
      <c r="CT9" s="74"/>
      <c r="CU9" s="74"/>
      <c r="CV9" s="74"/>
      <c r="CW9" s="74"/>
      <c r="CX9" s="74"/>
      <c r="CY9" s="74"/>
      <c r="CZ9" s="74"/>
      <c r="DA9" s="67"/>
      <c r="DB9" s="67"/>
      <c r="DC9" s="67"/>
      <c r="DD9" s="74"/>
      <c r="DE9" s="436"/>
      <c r="DF9" s="74"/>
      <c r="DG9" s="74"/>
      <c r="DH9" s="74"/>
      <c r="DI9" s="74"/>
      <c r="DJ9" s="74"/>
      <c r="DK9" s="74"/>
      <c r="DL9" s="74"/>
      <c r="DM9" s="19"/>
      <c r="DN9" s="19"/>
      <c r="DO9" s="19"/>
      <c r="DP9" s="19"/>
      <c r="DQ9" s="19"/>
      <c r="DR9" s="19"/>
      <c r="DS9" s="19"/>
      <c r="DT9" s="19"/>
      <c r="DU9" s="19"/>
      <c r="DV9" s="19"/>
      <c r="DW9" s="19"/>
      <c r="DX9" s="16"/>
      <c r="DY9" s="16"/>
    </row>
    <row r="10" spans="2:129" s="3" customFormat="1" ht="12.75" x14ac:dyDescent="0.2">
      <c r="B10" s="4"/>
      <c r="C10" s="2"/>
      <c r="D10" s="96" t="s">
        <v>36</v>
      </c>
      <c r="E10" s="642" t="str">
        <f>'Construction Costs_2022'!B11</f>
        <v xml:space="preserve">1 Short Groyne </v>
      </c>
      <c r="F10" s="642"/>
      <c r="G10" s="77"/>
      <c r="H10" s="21" t="s">
        <v>13</v>
      </c>
      <c r="I10" s="22" t="s">
        <v>14</v>
      </c>
      <c r="J10" s="22" t="s">
        <v>14</v>
      </c>
      <c r="K10" s="22" t="s">
        <v>14</v>
      </c>
      <c r="L10" s="22" t="s">
        <v>14</v>
      </c>
      <c r="M10" s="23" t="s">
        <v>14</v>
      </c>
      <c r="N10" s="95" t="s">
        <v>34</v>
      </c>
      <c r="O10" s="677" t="str">
        <f>'Construction Costs_2022'!B32</f>
        <v>2 Short Groynes</v>
      </c>
      <c r="P10" s="677"/>
      <c r="Q10" s="77"/>
      <c r="R10" s="21" t="s">
        <v>13</v>
      </c>
      <c r="S10" s="22" t="s">
        <v>14</v>
      </c>
      <c r="T10" s="22" t="s">
        <v>14</v>
      </c>
      <c r="U10" s="22" t="s">
        <v>14</v>
      </c>
      <c r="V10" s="22" t="s">
        <v>14</v>
      </c>
      <c r="W10" s="23" t="s">
        <v>14</v>
      </c>
      <c r="X10" s="96" t="s">
        <v>336</v>
      </c>
      <c r="Y10" s="677" t="str">
        <f>'Construction Costs_2022'!B53</f>
        <v>1 Long Groyne</v>
      </c>
      <c r="Z10" s="677"/>
      <c r="AA10" s="677"/>
      <c r="AB10" s="677"/>
      <c r="AC10" s="677"/>
      <c r="AD10" s="677"/>
      <c r="AE10" s="677"/>
      <c r="AF10" s="677"/>
      <c r="AG10" s="677"/>
      <c r="AH10" s="677"/>
      <c r="AI10" s="677"/>
      <c r="AJ10" s="677"/>
      <c r="AK10" s="677"/>
      <c r="AL10" s="677"/>
      <c r="AM10" s="677"/>
      <c r="AN10" s="677"/>
      <c r="AO10" s="677"/>
      <c r="AP10" s="677"/>
      <c r="AQ10" s="362"/>
      <c r="AR10" s="77"/>
      <c r="AS10" s="21" t="s">
        <v>13</v>
      </c>
      <c r="AT10" s="22" t="s">
        <v>14</v>
      </c>
      <c r="AU10" s="22" t="s">
        <v>14</v>
      </c>
      <c r="AV10" s="22"/>
      <c r="AW10" s="22"/>
      <c r="AX10" s="22"/>
      <c r="AY10" s="22"/>
      <c r="AZ10" s="22"/>
      <c r="BA10" s="22"/>
      <c r="BB10" s="22"/>
      <c r="BC10" s="22"/>
      <c r="BD10" s="22"/>
      <c r="BE10" s="22"/>
      <c r="BF10" s="22"/>
      <c r="BG10" s="22"/>
      <c r="BH10" s="22"/>
      <c r="BI10" s="22"/>
      <c r="BJ10" s="22"/>
      <c r="BK10" s="22"/>
      <c r="BL10" s="22"/>
      <c r="BM10" s="22" t="s">
        <v>14</v>
      </c>
      <c r="BN10" s="23" t="s">
        <v>14</v>
      </c>
      <c r="BO10" s="96" t="s">
        <v>37</v>
      </c>
      <c r="BP10" s="677" t="str">
        <f>'Construction Costs_2022'!B73</f>
        <v>1 Long &amp; 1 Short Groynes</v>
      </c>
      <c r="BQ10" s="677"/>
      <c r="BR10" s="77"/>
      <c r="BS10" s="21" t="s">
        <v>13</v>
      </c>
      <c r="BT10" s="22" t="s">
        <v>14</v>
      </c>
      <c r="BU10" s="22" t="s">
        <v>14</v>
      </c>
      <c r="BV10" s="22" t="s">
        <v>14</v>
      </c>
      <c r="BW10" s="22" t="s">
        <v>14</v>
      </c>
      <c r="BX10" s="23" t="s">
        <v>14</v>
      </c>
      <c r="BY10" s="96" t="s">
        <v>38</v>
      </c>
      <c r="BZ10" s="677" t="str">
        <f>'Construction Costs_2022'!B93</f>
        <v>2 Long  Groynes</v>
      </c>
      <c r="CA10" s="677"/>
      <c r="CB10" s="77"/>
      <c r="CC10" s="21" t="s">
        <v>13</v>
      </c>
      <c r="CD10" s="22" t="s">
        <v>14</v>
      </c>
      <c r="CE10" s="22" t="s">
        <v>14</v>
      </c>
      <c r="CF10" s="22" t="s">
        <v>14</v>
      </c>
      <c r="CG10" s="22" t="s">
        <v>14</v>
      </c>
      <c r="CH10" s="23" t="s">
        <v>14</v>
      </c>
      <c r="CI10" s="96" t="s">
        <v>309</v>
      </c>
      <c r="CJ10" s="677" t="str">
        <f>'Construction Costs_2022'!B116</f>
        <v>One Offshore Breakwater</v>
      </c>
      <c r="CK10" s="677"/>
      <c r="CL10" s="677"/>
      <c r="CM10" s="677"/>
      <c r="CN10" s="677"/>
      <c r="CO10" s="677"/>
      <c r="CP10" s="677"/>
      <c r="CQ10" s="677"/>
      <c r="CR10" s="677"/>
      <c r="CS10" s="677"/>
      <c r="CT10" s="677"/>
      <c r="CU10" s="677"/>
      <c r="CV10" s="677"/>
      <c r="CW10" s="677"/>
      <c r="CX10" s="677"/>
      <c r="CY10" s="677"/>
      <c r="CZ10" s="677"/>
      <c r="DA10" s="677"/>
      <c r="DB10" s="532"/>
      <c r="DC10" s="77"/>
      <c r="DD10" s="21" t="s">
        <v>13</v>
      </c>
      <c r="DE10" s="22" t="s">
        <v>14</v>
      </c>
      <c r="DF10" s="22" t="s">
        <v>14</v>
      </c>
      <c r="DG10" s="22"/>
      <c r="DH10" s="22"/>
      <c r="DI10" s="22"/>
      <c r="DJ10" s="22"/>
      <c r="DK10" s="22"/>
      <c r="DL10" s="22"/>
      <c r="DM10" s="22"/>
      <c r="DN10" s="22"/>
      <c r="DO10" s="22"/>
      <c r="DP10" s="22"/>
      <c r="DQ10" s="22"/>
      <c r="DR10" s="22"/>
      <c r="DS10" s="22"/>
      <c r="DT10" s="22"/>
      <c r="DU10" s="22"/>
      <c r="DV10" s="22"/>
      <c r="DW10" s="22"/>
      <c r="DX10" s="22" t="s">
        <v>14</v>
      </c>
      <c r="DY10" s="23" t="s">
        <v>14</v>
      </c>
    </row>
    <row r="11" spans="2:129" s="3" customFormat="1" ht="12.75" x14ac:dyDescent="0.2">
      <c r="B11" s="4"/>
      <c r="C11" s="2"/>
      <c r="D11" s="247"/>
      <c r="E11" s="248"/>
      <c r="F11" s="248" t="s">
        <v>117</v>
      </c>
      <c r="G11" s="79" t="s">
        <v>118</v>
      </c>
      <c r="H11" s="75"/>
      <c r="I11" s="54"/>
      <c r="J11" s="54"/>
      <c r="K11" s="54"/>
      <c r="L11" s="54"/>
      <c r="M11" s="76"/>
      <c r="N11" s="249"/>
      <c r="O11" s="248"/>
      <c r="P11" s="248"/>
      <c r="Q11" s="79"/>
      <c r="R11" s="75"/>
      <c r="S11" s="54"/>
      <c r="T11" s="54"/>
      <c r="U11" s="54"/>
      <c r="V11" s="54"/>
      <c r="W11" s="76"/>
      <c r="X11" s="247"/>
      <c r="Y11" s="248"/>
      <c r="Z11" s="248"/>
      <c r="AA11" s="248"/>
      <c r="AB11" s="248"/>
      <c r="AC11" s="248"/>
      <c r="AD11" s="248"/>
      <c r="AE11" s="248"/>
      <c r="AF11" s="248"/>
      <c r="AG11" s="248"/>
      <c r="AH11" s="248"/>
      <c r="AI11" s="248"/>
      <c r="AJ11" s="248"/>
      <c r="AK11" s="248"/>
      <c r="AL11" s="248"/>
      <c r="AM11" s="248"/>
      <c r="AN11" s="248"/>
      <c r="AO11" s="248"/>
      <c r="AP11" s="248"/>
      <c r="AQ11" s="248"/>
      <c r="AR11" s="79"/>
      <c r="AS11" s="75"/>
      <c r="AT11" s="54"/>
      <c r="AU11" s="54"/>
      <c r="AV11" s="54"/>
      <c r="AW11" s="54"/>
      <c r="AX11" s="54"/>
      <c r="AY11" s="54"/>
      <c r="AZ11" s="54"/>
      <c r="BA11" s="54"/>
      <c r="BB11" s="54"/>
      <c r="BC11" s="54"/>
      <c r="BD11" s="54"/>
      <c r="BE11" s="54"/>
      <c r="BF11" s="54"/>
      <c r="BG11" s="54"/>
      <c r="BH11" s="54"/>
      <c r="BI11" s="54"/>
      <c r="BJ11" s="54"/>
      <c r="BK11" s="54"/>
      <c r="BL11" s="54"/>
      <c r="BM11" s="54"/>
      <c r="BN11" s="76"/>
      <c r="BO11" s="247"/>
      <c r="BP11" s="248"/>
      <c r="BQ11" s="248"/>
      <c r="BR11" s="79"/>
      <c r="BS11" s="75"/>
      <c r="BT11" s="54"/>
      <c r="BU11" s="54"/>
      <c r="BV11" s="54"/>
      <c r="BW11" s="54"/>
      <c r="BX11" s="76"/>
      <c r="BY11" s="247"/>
      <c r="BZ11" s="248"/>
      <c r="CA11" s="248"/>
      <c r="CB11" s="79"/>
      <c r="CC11" s="75"/>
      <c r="CD11" s="54"/>
      <c r="CE11" s="54"/>
      <c r="CF11" s="54"/>
      <c r="CG11" s="54"/>
      <c r="CH11" s="76"/>
      <c r="CI11" s="247"/>
      <c r="CJ11" s="248"/>
      <c r="CK11" s="248"/>
      <c r="CL11" s="248"/>
      <c r="CM11" s="248"/>
      <c r="CN11" s="248"/>
      <c r="CO11" s="248"/>
      <c r="CP11" s="248"/>
      <c r="CQ11" s="248"/>
      <c r="CR11" s="248"/>
      <c r="CS11" s="248"/>
      <c r="CT11" s="248"/>
      <c r="CU11" s="248"/>
      <c r="CV11" s="248"/>
      <c r="CW11" s="248"/>
      <c r="CX11" s="248"/>
      <c r="CY11" s="248"/>
      <c r="CZ11" s="248"/>
      <c r="DA11" s="248"/>
      <c r="DB11" s="248"/>
      <c r="DC11" s="79"/>
      <c r="DD11" s="75"/>
      <c r="DE11" s="54"/>
      <c r="DF11" s="54"/>
      <c r="DG11" s="54"/>
      <c r="DH11" s="54"/>
      <c r="DI11" s="54"/>
      <c r="DJ11" s="54"/>
      <c r="DK11" s="54"/>
      <c r="DL11" s="54"/>
      <c r="DM11" s="54"/>
      <c r="DN11" s="54"/>
      <c r="DO11" s="54"/>
      <c r="DP11" s="54"/>
      <c r="DQ11" s="54"/>
      <c r="DR11" s="54"/>
      <c r="DS11" s="54"/>
      <c r="DT11" s="54"/>
      <c r="DU11" s="54"/>
      <c r="DV11" s="54"/>
      <c r="DW11" s="54"/>
      <c r="DX11" s="54"/>
      <c r="DY11" s="76"/>
    </row>
    <row r="12" spans="2:129" s="3" customFormat="1" ht="12.75" x14ac:dyDescent="0.2">
      <c r="B12" s="4"/>
      <c r="C12" s="2"/>
      <c r="D12" s="78"/>
      <c r="E12" s="80"/>
      <c r="F12" s="89"/>
      <c r="G12" s="79"/>
      <c r="H12" s="75"/>
      <c r="I12" s="54"/>
      <c r="J12" s="54"/>
      <c r="K12" s="54"/>
      <c r="L12" s="54"/>
      <c r="M12" s="76"/>
      <c r="N12" s="90"/>
      <c r="O12" s="80"/>
      <c r="P12" s="81"/>
      <c r="Q12" s="79"/>
      <c r="R12" s="75"/>
      <c r="S12" s="54"/>
      <c r="T12" s="54"/>
      <c r="U12" s="54"/>
      <c r="V12" s="54"/>
      <c r="W12" s="76"/>
      <c r="X12" s="78"/>
      <c r="Y12" s="80"/>
      <c r="Z12" s="80"/>
      <c r="AA12" s="80"/>
      <c r="AB12" s="80"/>
      <c r="AC12" s="80"/>
      <c r="AD12" s="80"/>
      <c r="AE12" s="80"/>
      <c r="AF12" s="80"/>
      <c r="AG12" s="80"/>
      <c r="AH12" s="80"/>
      <c r="AI12" s="80"/>
      <c r="AJ12" s="80"/>
      <c r="AK12" s="80"/>
      <c r="AL12" s="80"/>
      <c r="AM12" s="80"/>
      <c r="AN12" s="80"/>
      <c r="AO12" s="80"/>
      <c r="AP12" s="81"/>
      <c r="AQ12" s="81"/>
      <c r="AR12" s="79"/>
      <c r="AS12" s="75"/>
      <c r="AT12" s="54"/>
      <c r="AU12" s="54"/>
      <c r="AV12" s="54"/>
      <c r="AW12" s="54"/>
      <c r="AX12" s="54"/>
      <c r="AY12" s="54"/>
      <c r="AZ12" s="54"/>
      <c r="BA12" s="54"/>
      <c r="BB12" s="54"/>
      <c r="BC12" s="54"/>
      <c r="BD12" s="54"/>
      <c r="BE12" s="54"/>
      <c r="BF12" s="54"/>
      <c r="BG12" s="54"/>
      <c r="BH12" s="54"/>
      <c r="BI12" s="54"/>
      <c r="BJ12" s="54"/>
      <c r="BK12" s="54"/>
      <c r="BL12" s="54"/>
      <c r="BM12" s="54"/>
      <c r="BN12" s="76"/>
      <c r="BO12" s="78"/>
      <c r="BP12" s="80" t="s">
        <v>124</v>
      </c>
      <c r="BQ12" s="81">
        <v>1</v>
      </c>
      <c r="BR12" s="79">
        <f>'Construction Costs_2022'!J85</f>
        <v>0</v>
      </c>
      <c r="BS12" s="75"/>
      <c r="BT12" s="54"/>
      <c r="BU12" s="54"/>
      <c r="BV12" s="54"/>
      <c r="BW12" s="54"/>
      <c r="BX12" s="76"/>
      <c r="BY12" s="78"/>
      <c r="BZ12" s="80" t="s">
        <v>124</v>
      </c>
      <c r="CA12" s="89">
        <v>1</v>
      </c>
      <c r="CB12" s="79">
        <f>'Construction Costs_2022'!J105</f>
        <v>0</v>
      </c>
      <c r="CC12" s="75"/>
      <c r="CD12" s="54"/>
      <c r="CE12" s="54"/>
      <c r="CF12" s="54"/>
      <c r="CG12" s="54"/>
      <c r="CH12" s="76"/>
      <c r="CI12" s="78"/>
      <c r="CJ12" s="80"/>
      <c r="CK12" s="80"/>
      <c r="CL12" s="80"/>
      <c r="CM12" s="80"/>
      <c r="CN12" s="80"/>
      <c r="CO12" s="80"/>
      <c r="CP12" s="80"/>
      <c r="CQ12" s="80"/>
      <c r="CR12" s="80"/>
      <c r="CS12" s="80"/>
      <c r="CT12" s="80"/>
      <c r="CU12" s="80"/>
      <c r="CV12" s="80"/>
      <c r="CW12" s="80"/>
      <c r="CX12" s="80"/>
      <c r="CY12" s="80"/>
      <c r="CZ12" s="80" t="s">
        <v>124</v>
      </c>
      <c r="DA12" s="81">
        <f>'Construction Costs_2022'!BQ65</f>
        <v>0</v>
      </c>
      <c r="DB12" s="81"/>
      <c r="DC12" s="79"/>
      <c r="DD12" s="75"/>
      <c r="DE12" s="54"/>
      <c r="DF12" s="54"/>
      <c r="DG12" s="54"/>
      <c r="DH12" s="54"/>
      <c r="DI12" s="54"/>
      <c r="DJ12" s="54"/>
      <c r="DK12" s="54"/>
      <c r="DL12" s="54"/>
      <c r="DM12" s="54"/>
      <c r="DN12" s="54"/>
      <c r="DO12" s="54"/>
      <c r="DP12" s="54"/>
      <c r="DQ12" s="54"/>
      <c r="DR12" s="54"/>
      <c r="DS12" s="54"/>
      <c r="DT12" s="54"/>
      <c r="DU12" s="54"/>
      <c r="DV12" s="54"/>
      <c r="DW12" s="54"/>
      <c r="DX12" s="54"/>
      <c r="DY12" s="76"/>
    </row>
    <row r="13" spans="2:129" s="3" customFormat="1" ht="12.75" x14ac:dyDescent="0.2">
      <c r="B13" s="4"/>
      <c r="C13" s="2"/>
      <c r="D13" s="78"/>
      <c r="E13" s="80" t="s">
        <v>119</v>
      </c>
      <c r="F13" s="89">
        <f>'Construction Costs_2022'!F24</f>
        <v>10</v>
      </c>
      <c r="G13" s="79">
        <f>'Construction Costs_2022'!J24</f>
        <v>28000</v>
      </c>
      <c r="H13" s="75"/>
      <c r="I13" s="54"/>
      <c r="J13" s="54"/>
      <c r="K13" s="54"/>
      <c r="L13" s="54"/>
      <c r="M13" s="76"/>
      <c r="N13" s="90"/>
      <c r="O13" s="80" t="s">
        <v>119</v>
      </c>
      <c r="P13" s="81">
        <f>'Construction Costs_2022'!F45</f>
        <v>10</v>
      </c>
      <c r="Q13" s="79">
        <f>'Construction Costs_2022'!J45</f>
        <v>28000</v>
      </c>
      <c r="R13" s="75"/>
      <c r="S13" s="54"/>
      <c r="T13" s="54"/>
      <c r="U13" s="54"/>
      <c r="V13" s="54"/>
      <c r="W13" s="76"/>
      <c r="X13" s="78"/>
      <c r="Y13" s="80"/>
      <c r="Z13" s="80"/>
      <c r="AA13" s="80"/>
      <c r="AB13" s="80"/>
      <c r="AC13" s="80"/>
      <c r="AD13" s="80"/>
      <c r="AE13" s="80"/>
      <c r="AF13" s="80"/>
      <c r="AG13" s="80"/>
      <c r="AH13" s="80"/>
      <c r="AI13" s="80"/>
      <c r="AJ13" s="80"/>
      <c r="AK13" s="80"/>
      <c r="AL13" s="80"/>
      <c r="AM13" s="80"/>
      <c r="AN13" s="80"/>
      <c r="AO13" s="80" t="s">
        <v>119</v>
      </c>
      <c r="AP13" s="81">
        <f>'Construction Costs_2022'!F66</f>
        <v>10</v>
      </c>
      <c r="AQ13" s="81"/>
      <c r="AR13" s="79">
        <f>'Construction Costs_2022'!J66</f>
        <v>28000</v>
      </c>
      <c r="AS13" s="75"/>
      <c r="AT13" s="54"/>
      <c r="AU13" s="54"/>
      <c r="AV13" s="54"/>
      <c r="AW13" s="54"/>
      <c r="AX13" s="54"/>
      <c r="AY13" s="54"/>
      <c r="AZ13" s="54"/>
      <c r="BA13" s="54"/>
      <c r="BB13" s="54"/>
      <c r="BC13" s="54"/>
      <c r="BD13" s="54"/>
      <c r="BE13" s="54"/>
      <c r="BF13" s="54"/>
      <c r="BG13" s="54"/>
      <c r="BH13" s="54"/>
      <c r="BI13" s="54"/>
      <c r="BJ13" s="54"/>
      <c r="BK13" s="54"/>
      <c r="BL13" s="54"/>
      <c r="BM13" s="54"/>
      <c r="BN13" s="76"/>
      <c r="BO13" s="78"/>
      <c r="BP13" s="80" t="s">
        <v>119</v>
      </c>
      <c r="BQ13" s="81">
        <f>'Construction Costs_2022'!F86</f>
        <v>10</v>
      </c>
      <c r="BR13" s="79">
        <f>'Construction Costs_2022'!J86</f>
        <v>28000</v>
      </c>
      <c r="BS13" s="75"/>
      <c r="BT13" s="54"/>
      <c r="BU13" s="54"/>
      <c r="BV13" s="54"/>
      <c r="BW13" s="54"/>
      <c r="BX13" s="76"/>
      <c r="BY13" s="78"/>
      <c r="BZ13" s="80" t="s">
        <v>119</v>
      </c>
      <c r="CA13" s="89">
        <f>'Construction Costs_2022'!F106</f>
        <v>10</v>
      </c>
      <c r="CB13" s="79">
        <f>'Construction Costs_2022'!J106</f>
        <v>28000</v>
      </c>
      <c r="CC13" s="75"/>
      <c r="CD13" s="54"/>
      <c r="CE13" s="54"/>
      <c r="CF13" s="54"/>
      <c r="CG13" s="54"/>
      <c r="CH13" s="76"/>
      <c r="CI13" s="78"/>
      <c r="CJ13" s="80"/>
      <c r="CK13" s="80"/>
      <c r="CL13" s="80"/>
      <c r="CM13" s="80"/>
      <c r="CN13" s="80"/>
      <c r="CO13" s="80"/>
      <c r="CP13" s="80"/>
      <c r="CQ13" s="80"/>
      <c r="CR13" s="80"/>
      <c r="CS13" s="80"/>
      <c r="CT13" s="80"/>
      <c r="CU13" s="80"/>
      <c r="CV13" s="80"/>
      <c r="CW13" s="80"/>
      <c r="CX13" s="80"/>
      <c r="CY13" s="80"/>
      <c r="CZ13" s="80" t="s">
        <v>119</v>
      </c>
      <c r="DA13" s="81">
        <f>'Construction Costs_2022'!F130</f>
        <v>10</v>
      </c>
      <c r="DB13" s="81"/>
      <c r="DC13" s="79">
        <f>'Construction Costs_2022'!J130</f>
        <v>28000</v>
      </c>
      <c r="DD13" s="75"/>
      <c r="DE13" s="54"/>
      <c r="DF13" s="54"/>
      <c r="DG13" s="54"/>
      <c r="DH13" s="54"/>
      <c r="DI13" s="54"/>
      <c r="DJ13" s="54"/>
      <c r="DK13" s="54"/>
      <c r="DL13" s="54"/>
      <c r="DM13" s="54"/>
      <c r="DN13" s="54"/>
      <c r="DO13" s="54"/>
      <c r="DP13" s="54"/>
      <c r="DQ13" s="54"/>
      <c r="DR13" s="54"/>
      <c r="DS13" s="54"/>
      <c r="DT13" s="54"/>
      <c r="DU13" s="54"/>
      <c r="DV13" s="54"/>
      <c r="DW13" s="54"/>
      <c r="DX13" s="54"/>
      <c r="DY13" s="76"/>
    </row>
    <row r="14" spans="2:129" s="3" customFormat="1" ht="12.75" x14ac:dyDescent="0.2">
      <c r="B14" s="4"/>
      <c r="C14" s="2"/>
      <c r="D14" s="78"/>
      <c r="E14" s="89" t="str">
        <f>'Construction Costs_2022'!E25</f>
        <v>Replacement to demountable defences</v>
      </c>
      <c r="F14" s="89">
        <f>'Construction Costs_2022'!F25</f>
        <v>50</v>
      </c>
      <c r="G14" s="79">
        <f>'Construction Costs_2022'!J25</f>
        <v>27000</v>
      </c>
      <c r="H14" s="75"/>
      <c r="I14" s="54"/>
      <c r="J14" s="54"/>
      <c r="K14" s="54"/>
      <c r="L14" s="54"/>
      <c r="M14" s="76"/>
      <c r="N14" s="90"/>
      <c r="O14" s="89" t="str">
        <f>'Construction Costs_2022'!E46</f>
        <v>Replacement to demountable defences</v>
      </c>
      <c r="P14" s="81">
        <f>'Construction Costs_2022'!F46</f>
        <v>50</v>
      </c>
      <c r="Q14" s="79">
        <f>'Construction Costs_2022'!J46</f>
        <v>27000</v>
      </c>
      <c r="R14" s="75"/>
      <c r="S14" s="54"/>
      <c r="T14" s="54"/>
      <c r="U14" s="54"/>
      <c r="V14" s="54"/>
      <c r="W14" s="76"/>
      <c r="X14" s="78"/>
      <c r="Y14" s="80"/>
      <c r="Z14" s="80"/>
      <c r="AA14" s="80"/>
      <c r="AB14" s="80"/>
      <c r="AC14" s="80"/>
      <c r="AD14" s="80"/>
      <c r="AE14" s="80"/>
      <c r="AF14" s="80"/>
      <c r="AG14" s="80"/>
      <c r="AH14" s="80"/>
      <c r="AI14" s="80"/>
      <c r="AJ14" s="80"/>
      <c r="AK14" s="80"/>
      <c r="AL14" s="80"/>
      <c r="AM14" s="80"/>
      <c r="AN14" s="80"/>
      <c r="AO14" s="89" t="str">
        <f>'Construction Costs_2022'!E67</f>
        <v>Replacement to demountable defences</v>
      </c>
      <c r="AP14" s="81">
        <f>'Construction Costs_2022'!F67</f>
        <v>50</v>
      </c>
      <c r="AQ14" s="81"/>
      <c r="AR14" s="79">
        <f>'Construction Costs_2022'!J67</f>
        <v>27000</v>
      </c>
      <c r="AS14" s="75"/>
      <c r="AT14" s="54"/>
      <c r="AU14" s="54"/>
      <c r="AV14" s="54"/>
      <c r="AW14" s="54"/>
      <c r="AX14" s="54"/>
      <c r="AY14" s="54"/>
      <c r="AZ14" s="54"/>
      <c r="BA14" s="54"/>
      <c r="BB14" s="54"/>
      <c r="BC14" s="54"/>
      <c r="BD14" s="54"/>
      <c r="BE14" s="54"/>
      <c r="BF14" s="54"/>
      <c r="BG14" s="54"/>
      <c r="BH14" s="54"/>
      <c r="BI14" s="54"/>
      <c r="BJ14" s="54"/>
      <c r="BK14" s="54"/>
      <c r="BL14" s="54"/>
      <c r="BM14" s="54"/>
      <c r="BN14" s="76"/>
      <c r="BO14" s="78"/>
      <c r="BP14" s="80"/>
      <c r="BQ14" s="81"/>
      <c r="BR14" s="79"/>
      <c r="BS14" s="75"/>
      <c r="BT14" s="54"/>
      <c r="BU14" s="54"/>
      <c r="BV14" s="54"/>
      <c r="BW14" s="54"/>
      <c r="BX14" s="76"/>
      <c r="BY14" s="78"/>
      <c r="BZ14" s="80"/>
      <c r="CA14" s="89"/>
      <c r="CB14" s="79"/>
      <c r="CC14" s="75"/>
      <c r="CD14" s="54"/>
      <c r="CE14" s="54"/>
      <c r="CF14" s="54"/>
      <c r="CG14" s="54"/>
      <c r="CH14" s="76"/>
      <c r="CI14" s="78"/>
      <c r="CJ14" s="80"/>
      <c r="CK14" s="80"/>
      <c r="CL14" s="80"/>
      <c r="CM14" s="80"/>
      <c r="CN14" s="80"/>
      <c r="CO14" s="80"/>
      <c r="CP14" s="80"/>
      <c r="CQ14" s="80"/>
      <c r="CR14" s="80"/>
      <c r="CS14" s="80"/>
      <c r="CT14" s="80"/>
      <c r="CU14" s="80"/>
      <c r="CV14" s="80"/>
      <c r="CW14" s="80"/>
      <c r="CX14" s="80"/>
      <c r="CY14" s="80"/>
      <c r="CZ14" s="89" t="str">
        <f>'Construction Costs_2022'!E131</f>
        <v>Replacement to demountable defences</v>
      </c>
      <c r="DA14" s="81">
        <f>'Construction Costs_2022'!F131</f>
        <v>50</v>
      </c>
      <c r="DB14" s="81"/>
      <c r="DC14" s="79">
        <f>'Construction Costs_2022'!J131</f>
        <v>27000</v>
      </c>
      <c r="DD14" s="75"/>
      <c r="DE14" s="54"/>
      <c r="DF14" s="54"/>
      <c r="DG14" s="54"/>
      <c r="DH14" s="54"/>
      <c r="DI14" s="54"/>
      <c r="DJ14" s="54"/>
      <c r="DK14" s="54"/>
      <c r="DL14" s="54"/>
      <c r="DM14" s="54"/>
      <c r="DN14" s="54"/>
      <c r="DO14" s="54"/>
      <c r="DP14" s="54"/>
      <c r="DQ14" s="54"/>
      <c r="DR14" s="54"/>
      <c r="DS14" s="54"/>
      <c r="DT14" s="54"/>
      <c r="DU14" s="54"/>
      <c r="DV14" s="54"/>
      <c r="DW14" s="54"/>
      <c r="DX14" s="54"/>
      <c r="DY14" s="76"/>
    </row>
    <row r="15" spans="2:129" s="3" customFormat="1" ht="12.75" x14ac:dyDescent="0.2">
      <c r="B15" s="4"/>
      <c r="C15" s="2"/>
      <c r="D15" s="78"/>
      <c r="E15" s="89" t="str">
        <f>'Construction Costs_2022'!E26</f>
        <v>Maintenance to demountable defences</v>
      </c>
      <c r="F15" s="89">
        <f>'Construction Costs_2022'!F26</f>
        <v>10</v>
      </c>
      <c r="G15" s="79">
        <f>'Construction Costs_2022'!J26</f>
        <v>1000</v>
      </c>
      <c r="H15" s="75"/>
      <c r="I15" s="54"/>
      <c r="J15" s="54"/>
      <c r="K15" s="54"/>
      <c r="L15" s="54"/>
      <c r="M15" s="76"/>
      <c r="N15" s="90"/>
      <c r="O15" s="89" t="str">
        <f>'Construction Costs_2022'!E47</f>
        <v>Maintenance to demountable defences</v>
      </c>
      <c r="P15" s="81">
        <f>'Construction Costs_2022'!F47</f>
        <v>10</v>
      </c>
      <c r="Q15" s="79">
        <f>'Construction Costs_2022'!J47</f>
        <v>1000</v>
      </c>
      <c r="R15" s="75"/>
      <c r="S15" s="54"/>
      <c r="T15" s="54"/>
      <c r="U15" s="54"/>
      <c r="V15" s="54"/>
      <c r="W15" s="76"/>
      <c r="X15" s="78"/>
      <c r="Y15" s="80"/>
      <c r="Z15" s="80"/>
      <c r="AA15" s="80"/>
      <c r="AB15" s="80"/>
      <c r="AC15" s="80"/>
      <c r="AD15" s="80"/>
      <c r="AE15" s="80"/>
      <c r="AF15" s="80"/>
      <c r="AG15" s="80"/>
      <c r="AH15" s="80"/>
      <c r="AI15" s="80"/>
      <c r="AJ15" s="80"/>
      <c r="AK15" s="80"/>
      <c r="AL15" s="80"/>
      <c r="AM15" s="80"/>
      <c r="AN15" s="80"/>
      <c r="AO15" s="89" t="str">
        <f>'Construction Costs_2022'!E68</f>
        <v>Maintenance to demountable defences</v>
      </c>
      <c r="AP15" s="81">
        <f>'Construction Costs_2022'!F68</f>
        <v>10</v>
      </c>
      <c r="AQ15" s="81"/>
      <c r="AR15" s="79">
        <f>'Construction Costs_2022'!J68</f>
        <v>1000</v>
      </c>
      <c r="AS15" s="75"/>
      <c r="AT15" s="54"/>
      <c r="AU15" s="54"/>
      <c r="AV15" s="54"/>
      <c r="AW15" s="54"/>
      <c r="AX15" s="54"/>
      <c r="AY15" s="54"/>
      <c r="AZ15" s="54"/>
      <c r="BA15" s="54"/>
      <c r="BB15" s="54"/>
      <c r="BC15" s="54"/>
      <c r="BD15" s="54"/>
      <c r="BE15" s="54"/>
      <c r="BF15" s="54"/>
      <c r="BG15" s="54"/>
      <c r="BH15" s="54"/>
      <c r="BI15" s="54"/>
      <c r="BJ15" s="54"/>
      <c r="BK15" s="54"/>
      <c r="BL15" s="54"/>
      <c r="BM15" s="54"/>
      <c r="BN15" s="76"/>
      <c r="BO15" s="78"/>
      <c r="BP15" s="80"/>
      <c r="BQ15" s="81"/>
      <c r="BR15" s="79"/>
      <c r="BS15" s="75"/>
      <c r="BT15" s="54"/>
      <c r="BU15" s="54"/>
      <c r="BV15" s="54"/>
      <c r="BW15" s="54"/>
      <c r="BX15" s="76"/>
      <c r="BY15" s="78"/>
      <c r="BZ15" s="80"/>
      <c r="CA15" s="89"/>
      <c r="CB15" s="79"/>
      <c r="CC15" s="75"/>
      <c r="CD15" s="54"/>
      <c r="CE15" s="54"/>
      <c r="CF15" s="54"/>
      <c r="CG15" s="54"/>
      <c r="CH15" s="76"/>
      <c r="CI15" s="78"/>
      <c r="CJ15" s="80"/>
      <c r="CK15" s="80"/>
      <c r="CL15" s="80"/>
      <c r="CM15" s="80"/>
      <c r="CN15" s="80"/>
      <c r="CO15" s="80"/>
      <c r="CP15" s="80"/>
      <c r="CQ15" s="80"/>
      <c r="CR15" s="80"/>
      <c r="CS15" s="80"/>
      <c r="CT15" s="80"/>
      <c r="CU15" s="80"/>
      <c r="CV15" s="80"/>
      <c r="CW15" s="80"/>
      <c r="CX15" s="80"/>
      <c r="CY15" s="80"/>
      <c r="CZ15" s="89" t="str">
        <f>'Construction Costs_2022'!E132</f>
        <v>Maintenance to demountable defences</v>
      </c>
      <c r="DA15" s="81">
        <f>'Construction Costs_2022'!F132</f>
        <v>10</v>
      </c>
      <c r="DB15" s="81"/>
      <c r="DC15" s="79">
        <f>'Construction Costs_2022'!J132</f>
        <v>1000</v>
      </c>
      <c r="DD15" s="75"/>
      <c r="DE15" s="54"/>
      <c r="DF15" s="54"/>
      <c r="DG15" s="54"/>
      <c r="DH15" s="54"/>
      <c r="DI15" s="54"/>
      <c r="DJ15" s="54"/>
      <c r="DK15" s="54"/>
      <c r="DL15" s="54"/>
      <c r="DM15" s="54"/>
      <c r="DN15" s="54"/>
      <c r="DO15" s="54"/>
      <c r="DP15" s="54"/>
      <c r="DQ15" s="54"/>
      <c r="DR15" s="54"/>
      <c r="DS15" s="54"/>
      <c r="DT15" s="54"/>
      <c r="DU15" s="54"/>
      <c r="DV15" s="54"/>
      <c r="DW15" s="54"/>
      <c r="DX15" s="54"/>
      <c r="DY15" s="76"/>
    </row>
    <row r="16" spans="2:129" s="3" customFormat="1" ht="12.75" x14ac:dyDescent="0.2">
      <c r="B16" s="4"/>
      <c r="C16" s="2"/>
      <c r="D16" s="78"/>
      <c r="E16" s="80" t="s">
        <v>120</v>
      </c>
      <c r="F16" s="89">
        <f>'Construction Costs_2022'!F27</f>
        <v>10</v>
      </c>
      <c r="G16" s="79">
        <f>'Construction Costs_2022'!J27</f>
        <v>1033560</v>
      </c>
      <c r="H16" s="75"/>
      <c r="I16" s="54"/>
      <c r="J16" s="54"/>
      <c r="K16" s="54"/>
      <c r="L16" s="54"/>
      <c r="M16" s="76"/>
      <c r="N16" s="90"/>
      <c r="O16" s="80" t="s">
        <v>120</v>
      </c>
      <c r="P16" s="81">
        <f>'Construction Costs_2022'!F48</f>
        <v>10</v>
      </c>
      <c r="Q16" s="79">
        <f>'Construction Costs_2022'!J48</f>
        <v>976140</v>
      </c>
      <c r="R16" s="75"/>
      <c r="S16" s="54"/>
      <c r="T16" s="54"/>
      <c r="U16" s="54"/>
      <c r="V16" s="54"/>
      <c r="W16" s="76"/>
      <c r="X16" s="78"/>
      <c r="Y16" s="80"/>
      <c r="Z16" s="80"/>
      <c r="AA16" s="80"/>
      <c r="AB16" s="80"/>
      <c r="AC16" s="80"/>
      <c r="AD16" s="80"/>
      <c r="AE16" s="80"/>
      <c r="AF16" s="80"/>
      <c r="AG16" s="80"/>
      <c r="AH16" s="80"/>
      <c r="AI16" s="80"/>
      <c r="AJ16" s="80"/>
      <c r="AK16" s="80"/>
      <c r="AL16" s="80"/>
      <c r="AM16" s="80"/>
      <c r="AN16" s="80"/>
      <c r="AO16" s="80" t="s">
        <v>120</v>
      </c>
      <c r="AP16" s="81">
        <f>'Construction Costs_2022'!F69</f>
        <v>10</v>
      </c>
      <c r="AQ16" s="81"/>
      <c r="AR16" s="79">
        <f>'Construction Costs_2022'!J69</f>
        <v>803880</v>
      </c>
      <c r="AS16" s="75"/>
      <c r="AT16" s="54"/>
      <c r="AU16" s="54"/>
      <c r="AV16" s="54"/>
      <c r="AW16" s="54"/>
      <c r="AX16" s="54"/>
      <c r="AY16" s="54"/>
      <c r="AZ16" s="54"/>
      <c r="BA16" s="54"/>
      <c r="BB16" s="54"/>
      <c r="BC16" s="54"/>
      <c r="BD16" s="54"/>
      <c r="BE16" s="54"/>
      <c r="BF16" s="54"/>
      <c r="BG16" s="54"/>
      <c r="BH16" s="54"/>
      <c r="BI16" s="54"/>
      <c r="BJ16" s="54"/>
      <c r="BK16" s="54"/>
      <c r="BL16" s="54"/>
      <c r="BM16" s="54"/>
      <c r="BN16" s="76"/>
      <c r="BO16" s="78"/>
      <c r="BP16" s="80" t="s">
        <v>120</v>
      </c>
      <c r="BQ16" s="81">
        <f>'Construction Costs_2022'!F89</f>
        <v>10</v>
      </c>
      <c r="BR16" s="79">
        <f>'Construction Costs_2022'!J89</f>
        <v>746460</v>
      </c>
      <c r="BS16" s="75"/>
      <c r="BT16" s="54"/>
      <c r="BU16" s="54"/>
      <c r="BV16" s="54"/>
      <c r="BW16" s="54"/>
      <c r="BX16" s="76"/>
      <c r="BY16" s="78"/>
      <c r="BZ16" s="80" t="s">
        <v>120</v>
      </c>
      <c r="CA16" s="89">
        <f>'Construction Costs_2022'!F109</f>
        <v>10</v>
      </c>
      <c r="CB16" s="79">
        <f>'Construction Costs_2022'!J109</f>
        <v>918720</v>
      </c>
      <c r="CC16" s="75"/>
      <c r="CD16" s="54"/>
      <c r="CE16" s="54"/>
      <c r="CF16" s="54"/>
      <c r="CG16" s="54"/>
      <c r="CH16" s="76"/>
      <c r="CI16" s="78"/>
      <c r="CJ16" s="80"/>
      <c r="CK16" s="80"/>
      <c r="CL16" s="80"/>
      <c r="CM16" s="80"/>
      <c r="CN16" s="80"/>
      <c r="CO16" s="80"/>
      <c r="CP16" s="80"/>
      <c r="CQ16" s="80"/>
      <c r="CR16" s="80"/>
      <c r="CS16" s="80"/>
      <c r="CT16" s="80"/>
      <c r="CU16" s="80"/>
      <c r="CV16" s="80"/>
      <c r="CW16" s="80"/>
      <c r="CX16" s="80"/>
      <c r="CY16" s="80"/>
      <c r="CZ16" s="80" t="s">
        <v>120</v>
      </c>
      <c r="DA16" s="81">
        <f>'Construction Costs_2022'!F133</f>
        <v>10</v>
      </c>
      <c r="DB16" s="81"/>
      <c r="DC16" s="79">
        <f>'Construction Costs_2022'!J133</f>
        <v>86130</v>
      </c>
      <c r="DD16" s="75"/>
      <c r="DE16" s="54"/>
      <c r="DF16" s="54"/>
      <c r="DG16" s="54"/>
      <c r="DH16" s="54"/>
      <c r="DI16" s="54"/>
      <c r="DJ16" s="54"/>
      <c r="DK16" s="54"/>
      <c r="DL16" s="54"/>
      <c r="DM16" s="54"/>
      <c r="DN16" s="54"/>
      <c r="DO16" s="54"/>
      <c r="DP16" s="54"/>
      <c r="DQ16" s="54"/>
      <c r="DR16" s="54"/>
      <c r="DS16" s="54"/>
      <c r="DT16" s="54"/>
      <c r="DU16" s="54"/>
      <c r="DV16" s="54"/>
      <c r="DW16" s="54"/>
      <c r="DX16" s="54"/>
      <c r="DY16" s="76"/>
    </row>
    <row r="17" spans="1:129" s="3" customFormat="1" ht="12.75" x14ac:dyDescent="0.2">
      <c r="B17" s="4"/>
      <c r="C17" s="2"/>
      <c r="D17" s="78"/>
      <c r="E17" s="80" t="s">
        <v>121</v>
      </c>
      <c r="F17" s="89">
        <f>'Construction Costs_2022'!F28</f>
        <v>1</v>
      </c>
      <c r="G17" s="79">
        <f>'Construction Costs_2022'!J28</f>
        <v>28800</v>
      </c>
      <c r="H17" s="75"/>
      <c r="I17" s="54"/>
      <c r="J17" s="54"/>
      <c r="K17" s="54"/>
      <c r="L17" s="54"/>
      <c r="M17" s="76"/>
      <c r="N17" s="90"/>
      <c r="O17" s="80" t="s">
        <v>121</v>
      </c>
      <c r="P17" s="81">
        <f>'Construction Costs_2022'!F49</f>
        <v>1</v>
      </c>
      <c r="Q17" s="79">
        <f>'Construction Costs_2022'!J49</f>
        <v>43200</v>
      </c>
      <c r="R17" s="75"/>
      <c r="S17" s="54"/>
      <c r="T17" s="54"/>
      <c r="U17" s="54"/>
      <c r="V17" s="54"/>
      <c r="W17" s="76"/>
      <c r="X17" s="78"/>
      <c r="Y17" s="80"/>
      <c r="Z17" s="80"/>
      <c r="AA17" s="80"/>
      <c r="AB17" s="80"/>
      <c r="AC17" s="80"/>
      <c r="AD17" s="80"/>
      <c r="AE17" s="80"/>
      <c r="AF17" s="80"/>
      <c r="AG17" s="80"/>
      <c r="AH17" s="80"/>
      <c r="AI17" s="80"/>
      <c r="AJ17" s="80"/>
      <c r="AK17" s="80"/>
      <c r="AL17" s="80"/>
      <c r="AM17" s="80"/>
      <c r="AN17" s="80"/>
      <c r="AO17" s="80" t="s">
        <v>121</v>
      </c>
      <c r="AP17" s="81">
        <f>'Construction Costs_2022'!F70</f>
        <v>5</v>
      </c>
      <c r="AQ17" s="81"/>
      <c r="AR17" s="79">
        <f>'Construction Costs_2022'!J70</f>
        <v>86400</v>
      </c>
      <c r="AS17" s="75"/>
      <c r="AT17" s="54"/>
      <c r="AU17" s="54"/>
      <c r="AV17" s="54"/>
      <c r="AW17" s="54"/>
      <c r="AX17" s="54"/>
      <c r="AY17" s="54"/>
      <c r="AZ17" s="54"/>
      <c r="BA17" s="54"/>
      <c r="BB17" s="54"/>
      <c r="BC17" s="54"/>
      <c r="BD17" s="54"/>
      <c r="BE17" s="54"/>
      <c r="BF17" s="54"/>
      <c r="BG17" s="54"/>
      <c r="BH17" s="54"/>
      <c r="BI17" s="54"/>
      <c r="BJ17" s="54"/>
      <c r="BK17" s="54"/>
      <c r="BL17" s="54"/>
      <c r="BM17" s="54"/>
      <c r="BN17" s="76"/>
      <c r="BO17" s="78"/>
      <c r="BP17" s="80" t="s">
        <v>121</v>
      </c>
      <c r="BQ17" s="81">
        <f>'Construction Costs_2022'!F90</f>
        <v>5</v>
      </c>
      <c r="BR17" s="79">
        <f>'Construction Costs_2022'!J90</f>
        <v>100800</v>
      </c>
      <c r="BS17" s="75"/>
      <c r="BT17" s="54"/>
      <c r="BU17" s="54"/>
      <c r="BV17" s="54"/>
      <c r="BW17" s="54"/>
      <c r="BX17" s="76"/>
      <c r="BY17" s="78"/>
      <c r="BZ17" s="80" t="s">
        <v>121</v>
      </c>
      <c r="CA17" s="89">
        <f>'Construction Costs_2022'!F110</f>
        <v>5</v>
      </c>
      <c r="CB17" s="79">
        <f>'Construction Costs_2022'!J110</f>
        <v>57600</v>
      </c>
      <c r="CC17" s="75"/>
      <c r="CD17" s="54"/>
      <c r="CE17" s="54"/>
      <c r="CF17" s="54"/>
      <c r="CG17" s="54"/>
      <c r="CH17" s="76"/>
      <c r="CI17" s="78"/>
      <c r="CJ17" s="80"/>
      <c r="CK17" s="80"/>
      <c r="CL17" s="80"/>
      <c r="CM17" s="80"/>
      <c r="CN17" s="80"/>
      <c r="CO17" s="80"/>
      <c r="CP17" s="80"/>
      <c r="CQ17" s="80"/>
      <c r="CR17" s="80"/>
      <c r="CS17" s="80"/>
      <c r="CT17" s="80"/>
      <c r="CU17" s="80"/>
      <c r="CV17" s="80"/>
      <c r="CW17" s="80"/>
      <c r="CX17" s="80"/>
      <c r="CY17" s="80"/>
      <c r="CZ17" s="80" t="s">
        <v>121</v>
      </c>
      <c r="DA17" s="81">
        <f>'Construction Costs_2022'!F134</f>
        <v>5</v>
      </c>
      <c r="DB17" s="81"/>
      <c r="DC17" s="79">
        <f>'Construction Costs_2022'!J134</f>
        <v>86400</v>
      </c>
      <c r="DD17" s="75"/>
      <c r="DE17" s="54"/>
      <c r="DF17" s="54"/>
      <c r="DG17" s="54"/>
      <c r="DH17" s="54"/>
      <c r="DI17" s="54"/>
      <c r="DJ17" s="54"/>
      <c r="DK17" s="54"/>
      <c r="DL17" s="54"/>
      <c r="DM17" s="54"/>
      <c r="DN17" s="54"/>
      <c r="DO17" s="54"/>
      <c r="DP17" s="54"/>
      <c r="DQ17" s="54"/>
      <c r="DR17" s="54"/>
      <c r="DS17" s="54"/>
      <c r="DT17" s="54"/>
      <c r="DU17" s="54"/>
      <c r="DV17" s="54"/>
      <c r="DW17" s="54"/>
      <c r="DX17" s="54"/>
      <c r="DY17" s="76"/>
    </row>
    <row r="18" spans="1:129" s="3" customFormat="1" ht="12.75" x14ac:dyDescent="0.2">
      <c r="B18" s="4"/>
      <c r="C18" s="2"/>
      <c r="D18" s="78"/>
      <c r="E18" s="80" t="s">
        <v>122</v>
      </c>
      <c r="F18" s="89">
        <f>'Construction Costs_2022'!F29</f>
        <v>10</v>
      </c>
      <c r="G18" s="79">
        <f>'Construction Costs_2022'!J29</f>
        <v>210540</v>
      </c>
      <c r="H18" s="75"/>
      <c r="I18" s="54"/>
      <c r="J18" s="54"/>
      <c r="K18" s="54"/>
      <c r="L18" s="54"/>
      <c r="M18" s="76"/>
      <c r="N18" s="90"/>
      <c r="O18" s="80" t="s">
        <v>122</v>
      </c>
      <c r="P18" s="81">
        <f>'Construction Costs_2022'!F50</f>
        <v>10</v>
      </c>
      <c r="Q18" s="79">
        <f>'Construction Costs_2022'!J50</f>
        <v>159500</v>
      </c>
      <c r="R18" s="75"/>
      <c r="S18" s="54"/>
      <c r="T18" s="54"/>
      <c r="U18" s="54"/>
      <c r="V18" s="54"/>
      <c r="W18" s="76"/>
      <c r="X18" s="78"/>
      <c r="Y18" s="80"/>
      <c r="Z18" s="80"/>
      <c r="AA18" s="80"/>
      <c r="AB18" s="80"/>
      <c r="AC18" s="80"/>
      <c r="AD18" s="80"/>
      <c r="AE18" s="80"/>
      <c r="AF18" s="80"/>
      <c r="AG18" s="80"/>
      <c r="AH18" s="80"/>
      <c r="AI18" s="80"/>
      <c r="AJ18" s="80"/>
      <c r="AK18" s="80"/>
      <c r="AL18" s="80"/>
      <c r="AM18" s="80"/>
      <c r="AN18" s="80"/>
      <c r="AO18" s="80" t="s">
        <v>122</v>
      </c>
      <c r="AP18" s="81">
        <v>100</v>
      </c>
      <c r="AQ18" s="81"/>
      <c r="AR18" s="79">
        <v>0</v>
      </c>
      <c r="AS18" s="75"/>
      <c r="AT18" s="54"/>
      <c r="AU18" s="54"/>
      <c r="AV18" s="54"/>
      <c r="AW18" s="54"/>
      <c r="AX18" s="54"/>
      <c r="AY18" s="54"/>
      <c r="AZ18" s="54"/>
      <c r="BA18" s="54"/>
      <c r="BB18" s="54"/>
      <c r="BC18" s="54"/>
      <c r="BD18" s="54"/>
      <c r="BE18" s="54"/>
      <c r="BF18" s="54"/>
      <c r="BG18" s="54"/>
      <c r="BH18" s="54"/>
      <c r="BI18" s="54"/>
      <c r="BJ18" s="54"/>
      <c r="BK18" s="54"/>
      <c r="BL18" s="54"/>
      <c r="BM18" s="54"/>
      <c r="BN18" s="76"/>
      <c r="BO18" s="78"/>
      <c r="BP18" s="80" t="s">
        <v>122</v>
      </c>
      <c r="BQ18" s="81">
        <v>100</v>
      </c>
      <c r="BR18" s="79">
        <v>0</v>
      </c>
      <c r="BS18" s="75"/>
      <c r="BT18" s="54"/>
      <c r="BU18" s="54"/>
      <c r="BV18" s="54"/>
      <c r="BW18" s="54"/>
      <c r="BX18" s="76"/>
      <c r="BY18" s="78"/>
      <c r="BZ18" s="80" t="s">
        <v>122</v>
      </c>
      <c r="CA18" s="89">
        <v>100</v>
      </c>
      <c r="CB18" s="79">
        <v>0</v>
      </c>
      <c r="CC18" s="75"/>
      <c r="CD18" s="54"/>
      <c r="CE18" s="54"/>
      <c r="CF18" s="54"/>
      <c r="CG18" s="54"/>
      <c r="CH18" s="76"/>
      <c r="CI18" s="78"/>
      <c r="CJ18" s="80"/>
      <c r="CK18" s="80"/>
      <c r="CL18" s="80"/>
      <c r="CM18" s="80"/>
      <c r="CN18" s="80"/>
      <c r="CO18" s="80"/>
      <c r="CP18" s="80"/>
      <c r="CQ18" s="80"/>
      <c r="CR18" s="80"/>
      <c r="CS18" s="80"/>
      <c r="CT18" s="80"/>
      <c r="CU18" s="80"/>
      <c r="CV18" s="80"/>
      <c r="CW18" s="80"/>
      <c r="CX18" s="80"/>
      <c r="CY18" s="80"/>
      <c r="CZ18" s="80" t="s">
        <v>122</v>
      </c>
      <c r="DA18" s="81">
        <v>100</v>
      </c>
      <c r="DB18" s="81"/>
      <c r="DC18" s="79">
        <v>0</v>
      </c>
      <c r="DD18" s="75"/>
      <c r="DE18" s="54"/>
      <c r="DF18" s="54"/>
      <c r="DG18" s="54"/>
      <c r="DH18" s="54"/>
      <c r="DI18" s="54"/>
      <c r="DJ18" s="54"/>
      <c r="DK18" s="54"/>
      <c r="DL18" s="54"/>
      <c r="DM18" s="54"/>
      <c r="DN18" s="54"/>
      <c r="DO18" s="54"/>
      <c r="DP18" s="54"/>
      <c r="DQ18" s="54"/>
      <c r="DR18" s="54"/>
      <c r="DS18" s="54"/>
      <c r="DT18" s="54"/>
      <c r="DU18" s="54"/>
      <c r="DV18" s="54"/>
      <c r="DW18" s="54"/>
      <c r="DX18" s="54"/>
      <c r="DY18" s="76"/>
    </row>
    <row r="19" spans="1:129" s="3" customFormat="1" ht="12.75" x14ac:dyDescent="0.2">
      <c r="B19" s="4"/>
      <c r="C19" s="2"/>
      <c r="D19" s="78"/>
      <c r="E19" s="80" t="s">
        <v>123</v>
      </c>
      <c r="F19" s="89">
        <f>'Construction Costs_2022'!F30</f>
        <v>30</v>
      </c>
      <c r="G19" s="79">
        <f>'Construction Costs_2022'!J30</f>
        <v>100000</v>
      </c>
      <c r="H19" s="75"/>
      <c r="I19" s="54"/>
      <c r="J19" s="54"/>
      <c r="K19" s="54"/>
      <c r="L19" s="54"/>
      <c r="M19" s="76"/>
      <c r="N19" s="90"/>
      <c r="O19" s="80" t="s">
        <v>123</v>
      </c>
      <c r="P19" s="81">
        <f>'Construction Costs_2022'!F51</f>
        <v>30</v>
      </c>
      <c r="Q19" s="79">
        <f>'Construction Costs_2022'!J51</f>
        <v>100000</v>
      </c>
      <c r="R19" s="75"/>
      <c r="S19" s="54"/>
      <c r="T19" s="54"/>
      <c r="U19" s="54"/>
      <c r="V19" s="54"/>
      <c r="W19" s="76"/>
      <c r="X19" s="78"/>
      <c r="Y19" s="80"/>
      <c r="Z19" s="80"/>
      <c r="AA19" s="80"/>
      <c r="AB19" s="80"/>
      <c r="AC19" s="80"/>
      <c r="AD19" s="80"/>
      <c r="AE19" s="80"/>
      <c r="AF19" s="80"/>
      <c r="AG19" s="80"/>
      <c r="AH19" s="80"/>
      <c r="AI19" s="80"/>
      <c r="AJ19" s="80"/>
      <c r="AK19" s="80"/>
      <c r="AL19" s="80"/>
      <c r="AM19" s="80"/>
      <c r="AN19" s="80"/>
      <c r="AO19" s="80" t="s">
        <v>123</v>
      </c>
      <c r="AP19" s="81">
        <f>'Construction Costs_2022'!F71</f>
        <v>30</v>
      </c>
      <c r="AQ19" s="81"/>
      <c r="AR19" s="79">
        <f>'Construction Costs_2022'!J71</f>
        <v>100000</v>
      </c>
      <c r="AS19" s="75"/>
      <c r="AT19" s="54"/>
      <c r="AU19" s="54"/>
      <c r="AV19" s="54"/>
      <c r="AW19" s="54"/>
      <c r="AX19" s="54"/>
      <c r="AY19" s="54"/>
      <c r="AZ19" s="54"/>
      <c r="BA19" s="54"/>
      <c r="BB19" s="54"/>
      <c r="BC19" s="54"/>
      <c r="BD19" s="54"/>
      <c r="BE19" s="54"/>
      <c r="BF19" s="54"/>
      <c r="BG19" s="54"/>
      <c r="BH19" s="54"/>
      <c r="BI19" s="54"/>
      <c r="BJ19" s="54"/>
      <c r="BK19" s="54"/>
      <c r="BL19" s="54"/>
      <c r="BM19" s="54"/>
      <c r="BN19" s="76"/>
      <c r="BO19" s="78"/>
      <c r="BP19" s="80" t="s">
        <v>123</v>
      </c>
      <c r="BQ19" s="81">
        <f>'Construction Costs_2022'!F91</f>
        <v>30</v>
      </c>
      <c r="BR19" s="79">
        <f>'Construction Costs_2022'!J91</f>
        <v>100000</v>
      </c>
      <c r="BS19" s="75"/>
      <c r="BT19" s="54"/>
      <c r="BU19" s="54"/>
      <c r="BV19" s="54"/>
      <c r="BW19" s="54"/>
      <c r="BX19" s="76"/>
      <c r="BY19" s="78"/>
      <c r="BZ19" s="80" t="s">
        <v>123</v>
      </c>
      <c r="CA19" s="89">
        <f>'Construction Costs_2022'!F111</f>
        <v>30</v>
      </c>
      <c r="CB19" s="79">
        <f>'Construction Costs_2022'!J111</f>
        <v>100000</v>
      </c>
      <c r="CC19" s="75"/>
      <c r="CD19" s="54"/>
      <c r="CE19" s="54"/>
      <c r="CF19" s="54"/>
      <c r="CG19" s="54"/>
      <c r="CH19" s="76"/>
      <c r="CI19" s="78"/>
      <c r="CJ19" s="80"/>
      <c r="CK19" s="80"/>
      <c r="CL19" s="80"/>
      <c r="CM19" s="80"/>
      <c r="CN19" s="80"/>
      <c r="CO19" s="80"/>
      <c r="CP19" s="80"/>
      <c r="CQ19" s="80"/>
      <c r="CR19" s="80"/>
      <c r="CS19" s="80"/>
      <c r="CT19" s="80"/>
      <c r="CU19" s="80"/>
      <c r="CV19" s="80"/>
      <c r="CW19" s="80"/>
      <c r="CX19" s="80"/>
      <c r="CY19" s="80"/>
      <c r="CZ19" s="80" t="s">
        <v>123</v>
      </c>
      <c r="DA19" s="81">
        <f>'Construction Costs_2022'!F135</f>
        <v>30</v>
      </c>
      <c r="DB19" s="81"/>
      <c r="DC19" s="79">
        <f>'Construction Costs_2022'!J135</f>
        <v>100000</v>
      </c>
      <c r="DD19" s="75"/>
      <c r="DE19" s="54"/>
      <c r="DF19" s="54"/>
      <c r="DG19" s="54"/>
      <c r="DH19" s="54"/>
      <c r="DI19" s="54"/>
      <c r="DJ19" s="54"/>
      <c r="DK19" s="54"/>
      <c r="DL19" s="54"/>
      <c r="DM19" s="54"/>
      <c r="DN19" s="54"/>
      <c r="DO19" s="54"/>
      <c r="DP19" s="54"/>
      <c r="DQ19" s="54"/>
      <c r="DR19" s="54"/>
      <c r="DS19" s="54"/>
      <c r="DT19" s="54"/>
      <c r="DU19" s="54"/>
      <c r="DV19" s="54"/>
      <c r="DW19" s="54"/>
      <c r="DX19" s="54"/>
      <c r="DY19" s="76"/>
    </row>
    <row r="20" spans="1:129" s="3" customFormat="1" ht="12.75" x14ac:dyDescent="0.2">
      <c r="B20" s="4"/>
      <c r="C20" s="2"/>
      <c r="D20" s="78"/>
      <c r="E20" s="80" t="s">
        <v>31</v>
      </c>
      <c r="F20" s="89">
        <v>2</v>
      </c>
      <c r="G20" s="79"/>
      <c r="H20" s="75"/>
      <c r="I20" s="54"/>
      <c r="J20" s="54"/>
      <c r="K20" s="54"/>
      <c r="L20" s="54"/>
      <c r="M20" s="76"/>
      <c r="N20" s="90"/>
      <c r="O20" s="80" t="s">
        <v>31</v>
      </c>
      <c r="P20" s="81">
        <v>2</v>
      </c>
      <c r="Q20" s="79"/>
      <c r="R20" s="75"/>
      <c r="S20" s="54"/>
      <c r="T20" s="54"/>
      <c r="U20" s="54"/>
      <c r="V20" s="54"/>
      <c r="W20" s="76"/>
      <c r="X20" s="78"/>
      <c r="Y20" s="80"/>
      <c r="Z20" s="80"/>
      <c r="AA20" s="80"/>
      <c r="AB20" s="80"/>
      <c r="AC20" s="80"/>
      <c r="AD20" s="80"/>
      <c r="AE20" s="80"/>
      <c r="AF20" s="80"/>
      <c r="AG20" s="80"/>
      <c r="AH20" s="80"/>
      <c r="AI20" s="80"/>
      <c r="AJ20" s="80"/>
      <c r="AK20" s="80"/>
      <c r="AL20" s="80"/>
      <c r="AM20" s="80"/>
      <c r="AN20" s="80"/>
      <c r="AO20" s="80" t="s">
        <v>31</v>
      </c>
      <c r="AP20" s="81">
        <v>2</v>
      </c>
      <c r="AQ20" s="81"/>
      <c r="AR20" s="79"/>
      <c r="AS20" s="75"/>
      <c r="AT20" s="54"/>
      <c r="AU20" s="54"/>
      <c r="AV20" s="54"/>
      <c r="AW20" s="54"/>
      <c r="AX20" s="54"/>
      <c r="AY20" s="54"/>
      <c r="AZ20" s="54"/>
      <c r="BA20" s="54"/>
      <c r="BB20" s="54"/>
      <c r="BC20" s="54"/>
      <c r="BD20" s="54"/>
      <c r="BE20" s="54"/>
      <c r="BF20" s="54"/>
      <c r="BG20" s="54"/>
      <c r="BH20" s="54"/>
      <c r="BI20" s="54"/>
      <c r="BJ20" s="54"/>
      <c r="BK20" s="54"/>
      <c r="BL20" s="54"/>
      <c r="BM20" s="54"/>
      <c r="BN20" s="76"/>
      <c r="BO20" s="78"/>
      <c r="BP20" s="80" t="s">
        <v>31</v>
      </c>
      <c r="BQ20" s="81">
        <v>2</v>
      </c>
      <c r="BR20" s="79"/>
      <c r="BS20" s="75"/>
      <c r="BT20" s="54"/>
      <c r="BU20" s="54"/>
      <c r="BV20" s="54"/>
      <c r="BW20" s="54"/>
      <c r="BX20" s="76"/>
      <c r="BY20" s="78"/>
      <c r="BZ20" s="80" t="s">
        <v>31</v>
      </c>
      <c r="CA20" s="81">
        <v>2</v>
      </c>
      <c r="CB20" s="79"/>
      <c r="CC20" s="75"/>
      <c r="CD20" s="54"/>
      <c r="CE20" s="54"/>
      <c r="CF20" s="54"/>
      <c r="CG20" s="54"/>
      <c r="CH20" s="76"/>
      <c r="CI20" s="78"/>
      <c r="CJ20" s="80"/>
      <c r="CK20" s="80"/>
      <c r="CL20" s="80"/>
      <c r="CM20" s="80"/>
      <c r="CN20" s="80"/>
      <c r="CO20" s="80"/>
      <c r="CP20" s="80"/>
      <c r="CQ20" s="80"/>
      <c r="CR20" s="80"/>
      <c r="CS20" s="80"/>
      <c r="CT20" s="80"/>
      <c r="CU20" s="80"/>
      <c r="CV20" s="80"/>
      <c r="CW20" s="80"/>
      <c r="CX20" s="80"/>
      <c r="CY20" s="80"/>
      <c r="CZ20" s="80" t="s">
        <v>31</v>
      </c>
      <c r="DA20" s="81">
        <v>2</v>
      </c>
      <c r="DB20" s="81"/>
      <c r="DC20" s="79"/>
      <c r="DD20" s="75"/>
      <c r="DE20" s="54"/>
      <c r="DF20" s="54"/>
      <c r="DG20" s="54"/>
      <c r="DH20" s="54"/>
      <c r="DI20" s="54"/>
      <c r="DJ20" s="54"/>
      <c r="DK20" s="54"/>
      <c r="DL20" s="54"/>
      <c r="DM20" s="54"/>
      <c r="DN20" s="54"/>
      <c r="DO20" s="54"/>
      <c r="DP20" s="54"/>
      <c r="DQ20" s="54"/>
      <c r="DR20" s="54"/>
      <c r="DS20" s="54"/>
      <c r="DT20" s="54"/>
      <c r="DU20" s="54"/>
      <c r="DV20" s="54"/>
      <c r="DW20" s="54"/>
      <c r="DX20" s="54"/>
      <c r="DY20" s="76"/>
    </row>
    <row r="21" spans="1:129" s="360" customFormat="1" ht="114" customHeight="1" thickBot="1" x14ac:dyDescent="0.3">
      <c r="B21" s="354"/>
      <c r="C21" s="355"/>
      <c r="D21" s="356" t="s">
        <v>15</v>
      </c>
      <c r="E21" s="357" t="s">
        <v>16</v>
      </c>
      <c r="F21" s="357" t="s">
        <v>17</v>
      </c>
      <c r="G21" s="358" t="s">
        <v>18</v>
      </c>
      <c r="H21" s="356" t="s">
        <v>19</v>
      </c>
      <c r="I21" s="357" t="s">
        <v>15</v>
      </c>
      <c r="J21" s="357" t="s">
        <v>20</v>
      </c>
      <c r="K21" s="357" t="s">
        <v>17</v>
      </c>
      <c r="L21" s="358" t="s">
        <v>18</v>
      </c>
      <c r="M21" s="359" t="s">
        <v>32</v>
      </c>
      <c r="N21" s="357" t="s">
        <v>15</v>
      </c>
      <c r="O21" s="357" t="s">
        <v>16</v>
      </c>
      <c r="P21" s="357" t="s">
        <v>17</v>
      </c>
      <c r="Q21" s="358" t="s">
        <v>18</v>
      </c>
      <c r="R21" s="356" t="s">
        <v>19</v>
      </c>
      <c r="S21" s="357" t="s">
        <v>15</v>
      </c>
      <c r="T21" s="357" t="s">
        <v>20</v>
      </c>
      <c r="U21" s="357" t="s">
        <v>17</v>
      </c>
      <c r="V21" s="358" t="s">
        <v>18</v>
      </c>
      <c r="W21" s="359" t="s">
        <v>32</v>
      </c>
      <c r="X21" s="361" t="s">
        <v>177</v>
      </c>
      <c r="Y21" s="358" t="s">
        <v>16</v>
      </c>
      <c r="Z21" s="358" t="s">
        <v>165</v>
      </c>
      <c r="AA21" s="358" t="s">
        <v>166</v>
      </c>
      <c r="AB21" s="358" t="s">
        <v>167</v>
      </c>
      <c r="AC21" s="358" t="s">
        <v>162</v>
      </c>
      <c r="AD21" s="358" t="s">
        <v>1</v>
      </c>
      <c r="AE21" s="358" t="s">
        <v>2</v>
      </c>
      <c r="AF21" s="366"/>
      <c r="AG21" s="358" t="s">
        <v>175</v>
      </c>
      <c r="AH21" s="358" t="s">
        <v>170</v>
      </c>
      <c r="AI21" s="358" t="s">
        <v>171</v>
      </c>
      <c r="AJ21" s="358" t="s">
        <v>165</v>
      </c>
      <c r="AK21" s="358" t="s">
        <v>161</v>
      </c>
      <c r="AL21" s="358" t="s">
        <v>162</v>
      </c>
      <c r="AM21" s="358" t="s">
        <v>172</v>
      </c>
      <c r="AN21" s="358" t="s">
        <v>173</v>
      </c>
      <c r="AO21" s="358" t="s">
        <v>174</v>
      </c>
      <c r="AP21" s="358" t="s">
        <v>246</v>
      </c>
      <c r="AQ21" s="358" t="s">
        <v>246</v>
      </c>
      <c r="AR21" s="358" t="s">
        <v>18</v>
      </c>
      <c r="AS21" s="361" t="s">
        <v>19</v>
      </c>
      <c r="AT21" s="358" t="s">
        <v>15</v>
      </c>
      <c r="AU21" s="358" t="s">
        <v>20</v>
      </c>
      <c r="AV21" s="358" t="s">
        <v>165</v>
      </c>
      <c r="AW21" s="358" t="s">
        <v>166</v>
      </c>
      <c r="AX21" s="358" t="s">
        <v>167</v>
      </c>
      <c r="AY21" s="358" t="s">
        <v>162</v>
      </c>
      <c r="AZ21" s="358" t="s">
        <v>163</v>
      </c>
      <c r="BA21" s="358" t="s">
        <v>164</v>
      </c>
      <c r="BB21" s="358" t="s">
        <v>168</v>
      </c>
      <c r="BC21" s="358" t="s">
        <v>169</v>
      </c>
      <c r="BD21" s="358" t="s">
        <v>170</v>
      </c>
      <c r="BE21" s="358" t="s">
        <v>171</v>
      </c>
      <c r="BF21" s="358" t="s">
        <v>165</v>
      </c>
      <c r="BG21" s="358" t="s">
        <v>161</v>
      </c>
      <c r="BH21" s="358" t="s">
        <v>162</v>
      </c>
      <c r="BI21" s="358" t="s">
        <v>172</v>
      </c>
      <c r="BJ21" s="358" t="s">
        <v>173</v>
      </c>
      <c r="BK21" s="358" t="s">
        <v>174</v>
      </c>
      <c r="BL21" s="358" t="s">
        <v>247</v>
      </c>
      <c r="BM21" s="358" t="s">
        <v>248</v>
      </c>
      <c r="BN21" s="359" t="s">
        <v>32</v>
      </c>
      <c r="BO21" s="356" t="s">
        <v>15</v>
      </c>
      <c r="BP21" s="357" t="s">
        <v>16</v>
      </c>
      <c r="BQ21" s="357" t="s">
        <v>17</v>
      </c>
      <c r="BR21" s="358" t="s">
        <v>18</v>
      </c>
      <c r="BS21" s="356" t="s">
        <v>19</v>
      </c>
      <c r="BT21" s="357" t="s">
        <v>15</v>
      </c>
      <c r="BU21" s="357" t="s">
        <v>20</v>
      </c>
      <c r="BV21" s="357" t="s">
        <v>17</v>
      </c>
      <c r="BW21" s="358" t="s">
        <v>18</v>
      </c>
      <c r="BX21" s="359" t="s">
        <v>32</v>
      </c>
      <c r="BY21" s="356" t="s">
        <v>15</v>
      </c>
      <c r="BZ21" s="357" t="s">
        <v>16</v>
      </c>
      <c r="CA21" s="357" t="s">
        <v>17</v>
      </c>
      <c r="CB21" s="358" t="s">
        <v>18</v>
      </c>
      <c r="CC21" s="356" t="s">
        <v>19</v>
      </c>
      <c r="CD21" s="357" t="s">
        <v>15</v>
      </c>
      <c r="CE21" s="357" t="s">
        <v>20</v>
      </c>
      <c r="CF21" s="357" t="s">
        <v>17</v>
      </c>
      <c r="CG21" s="358" t="s">
        <v>18</v>
      </c>
      <c r="CH21" s="359" t="s">
        <v>32</v>
      </c>
      <c r="CI21" s="361" t="s">
        <v>177</v>
      </c>
      <c r="CJ21" s="358" t="s">
        <v>16</v>
      </c>
      <c r="CK21" s="358" t="s">
        <v>165</v>
      </c>
      <c r="CL21" s="358" t="s">
        <v>166</v>
      </c>
      <c r="CM21" s="358" t="s">
        <v>167</v>
      </c>
      <c r="CN21" s="358" t="s">
        <v>162</v>
      </c>
      <c r="CO21" s="358" t="s">
        <v>1</v>
      </c>
      <c r="CP21" s="358" t="s">
        <v>2</v>
      </c>
      <c r="CQ21" s="366"/>
      <c r="CR21" s="358" t="s">
        <v>175</v>
      </c>
      <c r="CS21" s="358" t="s">
        <v>170</v>
      </c>
      <c r="CT21" s="358" t="s">
        <v>171</v>
      </c>
      <c r="CU21" s="358" t="s">
        <v>165</v>
      </c>
      <c r="CV21" s="358" t="s">
        <v>161</v>
      </c>
      <c r="CW21" s="358" t="s">
        <v>162</v>
      </c>
      <c r="CX21" s="358" t="s">
        <v>172</v>
      </c>
      <c r="CY21" s="358" t="s">
        <v>173</v>
      </c>
      <c r="CZ21" s="358" t="s">
        <v>174</v>
      </c>
      <c r="DA21" s="358" t="s">
        <v>337</v>
      </c>
      <c r="DB21" s="358" t="s">
        <v>339</v>
      </c>
      <c r="DC21" s="358" t="s">
        <v>18</v>
      </c>
      <c r="DD21" s="361" t="s">
        <v>19</v>
      </c>
      <c r="DE21" s="358" t="s">
        <v>15</v>
      </c>
      <c r="DF21" s="358" t="s">
        <v>20</v>
      </c>
      <c r="DG21" s="358" t="s">
        <v>165</v>
      </c>
      <c r="DH21" s="358" t="s">
        <v>166</v>
      </c>
      <c r="DI21" s="358" t="s">
        <v>167</v>
      </c>
      <c r="DJ21" s="358" t="s">
        <v>162</v>
      </c>
      <c r="DK21" s="358" t="s">
        <v>163</v>
      </c>
      <c r="DL21" s="358" t="s">
        <v>164</v>
      </c>
      <c r="DM21" s="358" t="s">
        <v>168</v>
      </c>
      <c r="DN21" s="358" t="s">
        <v>169</v>
      </c>
      <c r="DO21" s="358" t="s">
        <v>170</v>
      </c>
      <c r="DP21" s="358" t="s">
        <v>171</v>
      </c>
      <c r="DQ21" s="358" t="s">
        <v>165</v>
      </c>
      <c r="DR21" s="358" t="s">
        <v>161</v>
      </c>
      <c r="DS21" s="358" t="s">
        <v>162</v>
      </c>
      <c r="DT21" s="358" t="s">
        <v>172</v>
      </c>
      <c r="DU21" s="358" t="s">
        <v>173</v>
      </c>
      <c r="DV21" s="358" t="s">
        <v>174</v>
      </c>
      <c r="DW21" s="358" t="s">
        <v>338</v>
      </c>
      <c r="DX21" s="358" t="s">
        <v>248</v>
      </c>
      <c r="DY21" s="359" t="s">
        <v>32</v>
      </c>
    </row>
    <row r="22" spans="1:129" s="3" customFormat="1" ht="13.5" thickBot="1" x14ac:dyDescent="0.25">
      <c r="B22" s="6"/>
      <c r="C22" s="7" t="s">
        <v>21</v>
      </c>
      <c r="D22" s="29">
        <f t="shared" ref="D22:O22" si="0">SUM(D25:D124)</f>
        <v>8257454.7049041586</v>
      </c>
      <c r="E22" s="29">
        <f>SUM(E25:E124)</f>
        <v>14578500</v>
      </c>
      <c r="F22" s="29">
        <f t="shared" si="0"/>
        <v>0</v>
      </c>
      <c r="G22" s="29">
        <f t="shared" si="0"/>
        <v>0</v>
      </c>
      <c r="H22" s="30">
        <f t="shared" si="0"/>
        <v>22835954.704904158</v>
      </c>
      <c r="I22" s="29">
        <f>SUM(I25:I124)</f>
        <v>7708422.3248189315</v>
      </c>
      <c r="J22" s="29">
        <f t="shared" si="0"/>
        <v>3742840.0682210433</v>
      </c>
      <c r="K22" s="31">
        <f t="shared" si="0"/>
        <v>0</v>
      </c>
      <c r="L22" s="31">
        <f t="shared" si="0"/>
        <v>0</v>
      </c>
      <c r="M22" s="94">
        <f t="shared" si="0"/>
        <v>11451262.393039975</v>
      </c>
      <c r="N22" s="28">
        <f>SUM(N26:N124)</f>
        <v>8539893.595808316</v>
      </c>
      <c r="O22" s="29">
        <f t="shared" si="0"/>
        <v>14999160</v>
      </c>
      <c r="P22" s="29">
        <f>SUM(P25:P125)</f>
        <v>0</v>
      </c>
      <c r="Q22" s="29">
        <f t="shared" ref="Q22:AO22" si="1">SUM(Q25:Q124)</f>
        <v>0</v>
      </c>
      <c r="R22" s="30">
        <f t="shared" si="1"/>
        <v>23539053.595808316</v>
      </c>
      <c r="S22" s="29">
        <f t="shared" si="1"/>
        <v>7972082.0516775809</v>
      </c>
      <c r="T22" s="29">
        <f t="shared" si="1"/>
        <v>3882546.6836868483</v>
      </c>
      <c r="U22" s="31">
        <f t="shared" si="1"/>
        <v>0</v>
      </c>
      <c r="V22" s="31">
        <f t="shared" si="1"/>
        <v>0</v>
      </c>
      <c r="W22" s="94">
        <f t="shared" si="1"/>
        <v>11854628.735364428</v>
      </c>
      <c r="X22" s="28">
        <f>SUM(X26:X124)</f>
        <v>9070371.9241785407</v>
      </c>
      <c r="Y22" s="29">
        <f>SUM(Y25:Y124)</f>
        <v>9464520</v>
      </c>
      <c r="Z22" s="29">
        <f t="shared" si="1"/>
        <v>0</v>
      </c>
      <c r="AA22" s="29">
        <f t="shared" si="1"/>
        <v>50000</v>
      </c>
      <c r="AB22" s="29">
        <f t="shared" si="1"/>
        <v>375000</v>
      </c>
      <c r="AC22" s="29">
        <f t="shared" si="1"/>
        <v>345000</v>
      </c>
      <c r="AD22" s="29">
        <f t="shared" si="1"/>
        <v>0</v>
      </c>
      <c r="AE22" s="29">
        <f t="shared" si="1"/>
        <v>0</v>
      </c>
      <c r="AF22" s="367"/>
      <c r="AG22" s="29">
        <f t="shared" si="1"/>
        <v>0</v>
      </c>
      <c r="AH22" s="29">
        <f t="shared" si="1"/>
        <v>0</v>
      </c>
      <c r="AI22" s="29">
        <f t="shared" si="1"/>
        <v>0</v>
      </c>
      <c r="AJ22" s="29">
        <f t="shared" si="1"/>
        <v>0</v>
      </c>
      <c r="AK22" s="29">
        <f t="shared" si="1"/>
        <v>0</v>
      </c>
      <c r="AL22" s="29">
        <f t="shared" si="1"/>
        <v>0</v>
      </c>
      <c r="AM22" s="29">
        <f t="shared" si="1"/>
        <v>267375</v>
      </c>
      <c r="AN22" s="29">
        <f t="shared" si="1"/>
        <v>0</v>
      </c>
      <c r="AO22" s="29">
        <f t="shared" si="1"/>
        <v>45000</v>
      </c>
      <c r="AP22" s="29">
        <f>SUM(AP25:AP125)</f>
        <v>5125587.453411852</v>
      </c>
      <c r="AQ22" s="29">
        <f>SUM(AQ25:AQ125)</f>
        <v>2460775.2000000002</v>
      </c>
      <c r="AR22" s="29">
        <f t="shared" ref="AR22:BN22" si="2">SUM(AR25:AR124)</f>
        <v>0</v>
      </c>
      <c r="AS22" s="30">
        <f t="shared" si="2"/>
        <v>27203629.577590398</v>
      </c>
      <c r="AT22" s="29">
        <f>SUM(AT25:AT124)</f>
        <v>8467289.2475236692</v>
      </c>
      <c r="AU22" s="29">
        <f t="shared" si="2"/>
        <v>2395779.4740257841</v>
      </c>
      <c r="AV22" s="29">
        <f t="shared" si="2"/>
        <v>0</v>
      </c>
      <c r="AW22" s="29">
        <f t="shared" si="2"/>
        <v>48309.178743961354</v>
      </c>
      <c r="AX22" s="29">
        <f t="shared" si="2"/>
        <v>362318.84057971014</v>
      </c>
      <c r="AY22" s="29">
        <f t="shared" si="2"/>
        <v>333333.33333333337</v>
      </c>
      <c r="AZ22" s="29">
        <f t="shared" si="2"/>
        <v>0</v>
      </c>
      <c r="BA22" s="29">
        <f t="shared" si="2"/>
        <v>0</v>
      </c>
      <c r="BB22" s="31">
        <f t="shared" si="2"/>
        <v>0</v>
      </c>
      <c r="BC22" s="31">
        <f t="shared" si="2"/>
        <v>0</v>
      </c>
      <c r="BD22" s="31">
        <f t="shared" si="2"/>
        <v>0</v>
      </c>
      <c r="BE22" s="31">
        <f t="shared" si="2"/>
        <v>0</v>
      </c>
      <c r="BF22" s="31">
        <f t="shared" si="2"/>
        <v>0</v>
      </c>
      <c r="BG22" s="31">
        <f t="shared" si="2"/>
        <v>0</v>
      </c>
      <c r="BH22" s="31">
        <f t="shared" si="2"/>
        <v>0</v>
      </c>
      <c r="BI22" s="31">
        <f t="shared" si="2"/>
        <v>258333.33333333334</v>
      </c>
      <c r="BJ22" s="31">
        <f t="shared" si="2"/>
        <v>0</v>
      </c>
      <c r="BK22" s="31">
        <f t="shared" si="2"/>
        <v>43478.260869565223</v>
      </c>
      <c r="BL22" s="31">
        <f>SUM(BL25:BL124)</f>
        <v>4952258.4090935774</v>
      </c>
      <c r="BM22" s="31">
        <f t="shared" si="2"/>
        <v>622902.66324670368</v>
      </c>
      <c r="BN22" s="94">
        <f t="shared" si="2"/>
        <v>17484002.740749639</v>
      </c>
      <c r="BO22" s="28">
        <f>SUM(BO26:BO124)</f>
        <v>9382808.1510826983</v>
      </c>
      <c r="BP22" s="29">
        <f>SUM(BP25:BP124)</f>
        <v>9185340</v>
      </c>
      <c r="BQ22" s="29">
        <f t="shared" ref="BQ22:BX22" si="3">SUM(BQ25:BQ124)</f>
        <v>0</v>
      </c>
      <c r="BR22" s="29">
        <f t="shared" si="3"/>
        <v>0</v>
      </c>
      <c r="BS22" s="30">
        <f t="shared" si="3"/>
        <v>18568148.151082698</v>
      </c>
      <c r="BT22" s="29">
        <f t="shared" si="3"/>
        <v>8758951.8085208051</v>
      </c>
      <c r="BU22" s="29">
        <f t="shared" si="3"/>
        <v>2329592.4679479599</v>
      </c>
      <c r="BV22" s="31">
        <f t="shared" si="3"/>
        <v>0</v>
      </c>
      <c r="BW22" s="31">
        <f t="shared" si="3"/>
        <v>0</v>
      </c>
      <c r="BX22" s="94">
        <f t="shared" si="3"/>
        <v>11088544.276468765</v>
      </c>
      <c r="BY22" s="28">
        <f>SUM(BY26:BY124)</f>
        <v>10029350.370357079</v>
      </c>
      <c r="BZ22" s="29">
        <f t="shared" ref="BZ22:CH22" si="4">SUM(BZ25:BZ124)</f>
        <v>9914880</v>
      </c>
      <c r="CA22" s="29">
        <f t="shared" si="4"/>
        <v>0</v>
      </c>
      <c r="CB22" s="29">
        <f t="shared" si="4"/>
        <v>0</v>
      </c>
      <c r="CC22" s="30">
        <f t="shared" si="4"/>
        <v>19944230.370357081</v>
      </c>
      <c r="CD22" s="29">
        <f t="shared" si="4"/>
        <v>9362505.888452081</v>
      </c>
      <c r="CE22" s="29">
        <f t="shared" si="4"/>
        <v>2506237.2216753322</v>
      </c>
      <c r="CF22" s="31">
        <f t="shared" si="4"/>
        <v>0</v>
      </c>
      <c r="CG22" s="31">
        <f t="shared" si="4"/>
        <v>0</v>
      </c>
      <c r="CH22" s="282">
        <f t="shared" si="4"/>
        <v>11868743.110127412</v>
      </c>
      <c r="CI22" s="28">
        <f>SUM(CI26:CI124)</f>
        <v>12108570.21417854</v>
      </c>
      <c r="CJ22" s="29">
        <f>SUM(CJ25:CJ124)</f>
        <v>3004770</v>
      </c>
      <c r="CK22" s="29">
        <f t="shared" ref="CK22:CP22" si="5">SUM(CK25:CK124)</f>
        <v>0</v>
      </c>
      <c r="CL22" s="29">
        <f t="shared" si="5"/>
        <v>50000</v>
      </c>
      <c r="CM22" s="29">
        <f t="shared" si="5"/>
        <v>375000</v>
      </c>
      <c r="CN22" s="29">
        <f>SUM(CN25:CN124)</f>
        <v>395000</v>
      </c>
      <c r="CO22" s="29">
        <f t="shared" si="5"/>
        <v>0</v>
      </c>
      <c r="CP22" s="29">
        <f t="shared" si="5"/>
        <v>0</v>
      </c>
      <c r="CQ22" s="367"/>
      <c r="CR22" s="29">
        <f t="shared" ref="CR22:CZ22" si="6">SUM(CR25:CR124)</f>
        <v>0</v>
      </c>
      <c r="CS22" s="29">
        <f t="shared" si="6"/>
        <v>0</v>
      </c>
      <c r="CT22" s="29">
        <f t="shared" si="6"/>
        <v>0</v>
      </c>
      <c r="CU22" s="29">
        <f t="shared" si="6"/>
        <v>0</v>
      </c>
      <c r="CV22" s="29">
        <f t="shared" si="6"/>
        <v>0</v>
      </c>
      <c r="CW22" s="29">
        <f t="shared" si="6"/>
        <v>0</v>
      </c>
      <c r="CX22" s="29">
        <f t="shared" si="6"/>
        <v>267375</v>
      </c>
      <c r="CY22" s="29">
        <f t="shared" si="6"/>
        <v>0</v>
      </c>
      <c r="CZ22" s="29">
        <f t="shared" si="6"/>
        <v>45000</v>
      </c>
      <c r="DA22" s="29">
        <f>SUM(DA25:DA125)</f>
        <v>5125587.453411852</v>
      </c>
      <c r="DB22" s="29">
        <f>SUM(DB25:DB125)</f>
        <v>901431</v>
      </c>
      <c r="DC22" s="29">
        <f t="shared" ref="DC22" si="7">SUM(DC25:DC124)</f>
        <v>0</v>
      </c>
      <c r="DD22" s="30">
        <f>SUM(DD25:DD124)</f>
        <v>22272733.667590391</v>
      </c>
      <c r="DE22" s="29">
        <f>SUM(DE25:DE124)</f>
        <v>11303479.861073576</v>
      </c>
      <c r="DF22" s="29">
        <f t="shared" ref="DF22:DV22" si="8">SUM(DF25:DF124)</f>
        <v>755672.15201554319</v>
      </c>
      <c r="DG22" s="29">
        <f t="shared" si="8"/>
        <v>0</v>
      </c>
      <c r="DH22" s="29">
        <f t="shared" si="8"/>
        <v>48309.178743961354</v>
      </c>
      <c r="DI22" s="29">
        <f t="shared" si="8"/>
        <v>362318.84057971014</v>
      </c>
      <c r="DJ22" s="29">
        <f t="shared" si="8"/>
        <v>381642.5120772947</v>
      </c>
      <c r="DK22" s="29">
        <f t="shared" si="8"/>
        <v>0</v>
      </c>
      <c r="DL22" s="29">
        <f t="shared" si="8"/>
        <v>0</v>
      </c>
      <c r="DM22" s="31">
        <f t="shared" si="8"/>
        <v>0</v>
      </c>
      <c r="DN22" s="31">
        <f t="shared" si="8"/>
        <v>0</v>
      </c>
      <c r="DO22" s="31">
        <f t="shared" si="8"/>
        <v>0</v>
      </c>
      <c r="DP22" s="31">
        <f t="shared" si="8"/>
        <v>0</v>
      </c>
      <c r="DQ22" s="31">
        <f t="shared" si="8"/>
        <v>0</v>
      </c>
      <c r="DR22" s="31">
        <f t="shared" si="8"/>
        <v>0</v>
      </c>
      <c r="DS22" s="31">
        <f t="shared" si="8"/>
        <v>0</v>
      </c>
      <c r="DT22" s="31">
        <f t="shared" si="8"/>
        <v>258333.33333333334</v>
      </c>
      <c r="DU22" s="31">
        <f t="shared" si="8"/>
        <v>0</v>
      </c>
      <c r="DV22" s="31">
        <f t="shared" si="8"/>
        <v>43478.260869565223</v>
      </c>
      <c r="DW22" s="31">
        <f>SUM(DW25:DW124)</f>
        <v>4952258.4090935774</v>
      </c>
      <c r="DX22" s="31">
        <f t="shared" ref="DX22" si="9">SUM(DX25:DX124)</f>
        <v>226701.64560466292</v>
      </c>
      <c r="DY22" s="94">
        <f>SUM(DY25:DY124)</f>
        <v>18332194.193391223</v>
      </c>
    </row>
    <row r="23" spans="1:129" s="3" customFormat="1" ht="12.75" x14ac:dyDescent="0.2">
      <c r="B23" s="8"/>
      <c r="C23" s="9" t="s">
        <v>22</v>
      </c>
      <c r="D23" s="32"/>
      <c r="E23" s="33"/>
      <c r="F23" s="33"/>
      <c r="G23" s="33"/>
      <c r="H23" s="32"/>
      <c r="I23" s="33"/>
      <c r="J23" s="33"/>
      <c r="K23" s="33"/>
      <c r="L23" s="33"/>
      <c r="M23" s="34"/>
      <c r="N23" s="33"/>
      <c r="O23" s="33"/>
      <c r="P23" s="33"/>
      <c r="Q23" s="33"/>
      <c r="R23" s="32"/>
      <c r="S23" s="33"/>
      <c r="T23" s="33"/>
      <c r="U23" s="33"/>
      <c r="V23" s="33"/>
      <c r="W23" s="34"/>
      <c r="X23" s="33"/>
      <c r="Y23" s="33"/>
      <c r="Z23" s="33"/>
      <c r="AA23" s="33"/>
      <c r="AB23" s="33"/>
      <c r="AC23" s="33"/>
      <c r="AD23" s="33"/>
      <c r="AE23" s="33"/>
      <c r="AF23" s="368"/>
      <c r="AG23" s="33"/>
      <c r="AH23" s="33"/>
      <c r="AI23" s="33"/>
      <c r="AJ23" s="33"/>
      <c r="AK23" s="33"/>
      <c r="AL23" s="33"/>
      <c r="AM23" s="33"/>
      <c r="AN23" s="33"/>
      <c r="AO23" s="33"/>
      <c r="AP23" s="33"/>
      <c r="AQ23" s="33"/>
      <c r="AR23" s="33"/>
      <c r="AS23" s="32"/>
      <c r="AT23" s="33"/>
      <c r="AU23" s="33"/>
      <c r="AV23" s="33"/>
      <c r="AW23" s="33"/>
      <c r="AX23" s="33"/>
      <c r="AY23" s="33"/>
      <c r="AZ23" s="33"/>
      <c r="BA23" s="33"/>
      <c r="BB23" s="33"/>
      <c r="BC23" s="33"/>
      <c r="BD23" s="33"/>
      <c r="BE23" s="33"/>
      <c r="BF23" s="33"/>
      <c r="BG23" s="33"/>
      <c r="BH23" s="33"/>
      <c r="BI23" s="33"/>
      <c r="BJ23" s="33"/>
      <c r="BK23" s="33"/>
      <c r="BL23" s="33"/>
      <c r="BM23" s="33"/>
      <c r="BN23" s="34"/>
      <c r="BO23" s="32"/>
      <c r="BP23" s="33"/>
      <c r="BQ23" s="33"/>
      <c r="BR23" s="33"/>
      <c r="BS23" s="32"/>
      <c r="BT23" s="33"/>
      <c r="BU23" s="33"/>
      <c r="BV23" s="33"/>
      <c r="BW23" s="33"/>
      <c r="BX23" s="34"/>
      <c r="BY23" s="32"/>
      <c r="BZ23" s="33"/>
      <c r="CA23" s="33"/>
      <c r="CB23" s="33"/>
      <c r="CC23" s="32"/>
      <c r="CD23" s="33"/>
      <c r="CE23" s="33"/>
      <c r="CF23" s="33"/>
      <c r="CG23" s="33"/>
      <c r="CH23" s="34"/>
      <c r="CI23" s="33"/>
      <c r="CJ23" s="33"/>
      <c r="CK23" s="33"/>
      <c r="CL23" s="33"/>
      <c r="CM23" s="33"/>
      <c r="CN23" s="33"/>
      <c r="CO23" s="33"/>
      <c r="CP23" s="33"/>
      <c r="CQ23" s="368"/>
      <c r="CR23" s="33"/>
      <c r="CS23" s="33"/>
      <c r="CT23" s="33"/>
      <c r="CU23" s="33"/>
      <c r="CV23" s="33"/>
      <c r="CW23" s="33"/>
      <c r="CX23" s="33"/>
      <c r="CY23" s="33"/>
      <c r="CZ23" s="33"/>
      <c r="DA23" s="33"/>
      <c r="DB23" s="33"/>
      <c r="DC23" s="33"/>
      <c r="DD23" s="32"/>
      <c r="DE23" s="33"/>
      <c r="DF23" s="33"/>
      <c r="DG23" s="33"/>
      <c r="DH23" s="33"/>
      <c r="DI23" s="33"/>
      <c r="DJ23" s="33"/>
      <c r="DK23" s="33"/>
      <c r="DL23" s="33"/>
      <c r="DM23" s="33"/>
      <c r="DN23" s="33"/>
      <c r="DO23" s="33"/>
      <c r="DP23" s="33"/>
      <c r="DQ23" s="33"/>
      <c r="DR23" s="33"/>
      <c r="DS23" s="33"/>
      <c r="DT23" s="33"/>
      <c r="DU23" s="33"/>
      <c r="DV23" s="33"/>
      <c r="DW23" s="33"/>
      <c r="DX23" s="33"/>
      <c r="DY23" s="34"/>
    </row>
    <row r="24" spans="1:129" s="3" customFormat="1" ht="13.5" thickBot="1" x14ac:dyDescent="0.25">
      <c r="B24" s="10" t="s">
        <v>23</v>
      </c>
      <c r="C24" s="11" t="s">
        <v>24</v>
      </c>
      <c r="D24" s="35"/>
      <c r="E24" s="36"/>
      <c r="F24" s="36"/>
      <c r="G24" s="36"/>
      <c r="H24" s="35"/>
      <c r="I24" s="36"/>
      <c r="J24" s="36"/>
      <c r="K24" s="36"/>
      <c r="L24" s="36"/>
      <c r="M24" s="37"/>
      <c r="N24" s="36"/>
      <c r="O24" s="36"/>
      <c r="P24" s="36"/>
      <c r="Q24" s="36"/>
      <c r="R24" s="35"/>
      <c r="S24" s="36"/>
      <c r="T24" s="36"/>
      <c r="U24" s="36"/>
      <c r="V24" s="36"/>
      <c r="W24" s="37"/>
      <c r="X24" s="36"/>
      <c r="Y24" s="36"/>
      <c r="Z24" s="36"/>
      <c r="AA24" s="36"/>
      <c r="AB24" s="36"/>
      <c r="AC24" s="36"/>
      <c r="AD24" s="36"/>
      <c r="AE24" s="36"/>
      <c r="AF24" s="369"/>
      <c r="AG24" s="36"/>
      <c r="AH24" s="36"/>
      <c r="AI24" s="36"/>
      <c r="AJ24" s="36"/>
      <c r="AK24" s="36"/>
      <c r="AL24" s="36"/>
      <c r="AM24" s="36"/>
      <c r="AN24" s="36"/>
      <c r="AO24" s="36"/>
      <c r="AP24" s="36"/>
      <c r="AQ24" s="36"/>
      <c r="AR24" s="36"/>
      <c r="AS24" s="35"/>
      <c r="AT24" s="36"/>
      <c r="AU24" s="36"/>
      <c r="AV24" s="36"/>
      <c r="AW24" s="36"/>
      <c r="AX24" s="36"/>
      <c r="AY24" s="36"/>
      <c r="AZ24" s="36"/>
      <c r="BA24" s="36"/>
      <c r="BB24" s="36"/>
      <c r="BC24" s="36"/>
      <c r="BD24" s="36"/>
      <c r="BE24" s="36"/>
      <c r="BF24" s="36"/>
      <c r="BG24" s="36"/>
      <c r="BH24" s="36"/>
      <c r="BI24" s="36"/>
      <c r="BJ24" s="36"/>
      <c r="BK24" s="36"/>
      <c r="BL24" s="36"/>
      <c r="BM24" s="36"/>
      <c r="BN24" s="37"/>
      <c r="BO24" s="35"/>
      <c r="BP24" s="36"/>
      <c r="BQ24" s="36"/>
      <c r="BR24" s="36"/>
      <c r="BS24" s="35"/>
      <c r="BT24" s="36"/>
      <c r="BU24" s="36"/>
      <c r="BV24" s="36"/>
      <c r="BW24" s="36"/>
      <c r="BX24" s="37"/>
      <c r="BY24" s="35"/>
      <c r="BZ24" s="36"/>
      <c r="CA24" s="36"/>
      <c r="CB24" s="36"/>
      <c r="CC24" s="35"/>
      <c r="CD24" s="36"/>
      <c r="CE24" s="36"/>
      <c r="CF24" s="36"/>
      <c r="CG24" s="36"/>
      <c r="CH24" s="37"/>
      <c r="CI24" s="36"/>
      <c r="CJ24" s="36"/>
      <c r="CK24" s="36"/>
      <c r="CL24" s="36"/>
      <c r="CM24" s="36"/>
      <c r="CN24" s="36"/>
      <c r="CO24" s="36"/>
      <c r="CP24" s="36"/>
      <c r="CQ24" s="369"/>
      <c r="CR24" s="36"/>
      <c r="CS24" s="36"/>
      <c r="CT24" s="36"/>
      <c r="CU24" s="36"/>
      <c r="CV24" s="36"/>
      <c r="CW24" s="36"/>
      <c r="CX24" s="36"/>
      <c r="CY24" s="36"/>
      <c r="CZ24" s="36"/>
      <c r="DA24" s="36"/>
      <c r="DB24" s="36"/>
      <c r="DC24" s="36"/>
      <c r="DD24" s="35"/>
      <c r="DE24" s="36"/>
      <c r="DF24" s="36"/>
      <c r="DG24" s="36"/>
      <c r="DH24" s="36"/>
      <c r="DI24" s="36"/>
      <c r="DJ24" s="36"/>
      <c r="DK24" s="36"/>
      <c r="DL24" s="36"/>
      <c r="DM24" s="36"/>
      <c r="DN24" s="36"/>
      <c r="DO24" s="36"/>
      <c r="DP24" s="36"/>
      <c r="DQ24" s="36"/>
      <c r="DR24" s="36"/>
      <c r="DS24" s="36"/>
      <c r="DT24" s="36"/>
      <c r="DU24" s="36"/>
      <c r="DV24" s="36"/>
      <c r="DW24" s="36"/>
      <c r="DX24" s="36"/>
      <c r="DY24" s="37"/>
    </row>
    <row r="25" spans="1:129" s="3" customFormat="1" ht="12.75" x14ac:dyDescent="0.2">
      <c r="A25" s="3" t="s">
        <v>356</v>
      </c>
      <c r="B25" s="12">
        <v>0</v>
      </c>
      <c r="C25" s="83">
        <f>1/((1+$E$9)^B25)</f>
        <v>1</v>
      </c>
      <c r="D25" s="82">
        <f>IF($B25=F$20,'Construction Costs_2022'!$K$22+'Construction Costs_2022'!$K$7,0)</f>
        <v>0</v>
      </c>
      <c r="E25" s="38">
        <f>IF(D25&gt;0,0,SUM(IF(AND(MOD(($B25-F$20),F$13)=0,$B25&gt;=F$20),G$13,0)+IF(AND(MOD(($B25-F$20),F$14)=0,$B25&gt;=F$20),G$14,0)+IF(AND(MOD(($B25-F$20),F$15)=0,$B25&gt;=F$20),G$15,0)+IF(AND(MOD(($B25-F$20),F$16)=0,$B25&gt;=F$20),G$16,0)+IF(AND(MOD(($B25-F$20),F$17)=0,$B25&gt;=F$20),G$17,0)+IF(AND(MOD(($B25-F$20),F$18)=0,$B25&gt;=F$20),G$18,0)+IF(AND(MOD(($B25-F$20),F$19)=0,$B25&gt;=F$20),G$19,0)))</f>
        <v>0</v>
      </c>
      <c r="F25" s="38"/>
      <c r="G25" s="39"/>
      <c r="H25" s="40">
        <f t="shared" ref="H25:H56" si="10">SUM(D25:G25)</f>
        <v>0</v>
      </c>
      <c r="I25" s="41">
        <f t="shared" ref="I25:L56" si="11">D25*$C25</f>
        <v>0</v>
      </c>
      <c r="J25" s="42">
        <f>E25*$C25</f>
        <v>0</v>
      </c>
      <c r="K25" s="43">
        <f t="shared" si="11"/>
        <v>0</v>
      </c>
      <c r="L25" s="43">
        <f t="shared" si="11"/>
        <v>0</v>
      </c>
      <c r="M25" s="44">
        <f>SUM(I25:L25)</f>
        <v>0</v>
      </c>
      <c r="N25" s="91">
        <f>IF($B25=P$20,'Construction Costs_2022'!K43+'Construction Costs_2022'!K7,0)</f>
        <v>0</v>
      </c>
      <c r="O25" s="38">
        <f>IF(N25&gt;0,0,SUM(IF(AND(MOD(($B25-P$20),P$13)=0,$B25&gt;=P$20),Q$13,0)+IF(AND(MOD(($B25-P$20),P$14)=0,$B25&gt;=P$20),Q$14,0)+IF(AND(MOD(($B25-P$20),P$15)=0,$B25&gt;=P$20),Q$15,0)+IF(AND(MOD(($B25-P$20),P$16)=0,$B25&gt;=P$20),Q$16,0)+IF(AND(MOD(($B25-P$20),P$17)=0,$B25&gt;=P$20),Q$17,0)+IF(AND(MOD(($B25-P$20),P$18)=0,$B25&gt;=P$20),Q$18,0)+IF(AND(MOD(($B25-P$20),P$19)=0,$B25&gt;=P$20),Q$19,0)))</f>
        <v>0</v>
      </c>
      <c r="P25" s="38"/>
      <c r="Q25" s="39"/>
      <c r="R25" s="40">
        <f>SUM(N25:Q25)</f>
        <v>0</v>
      </c>
      <c r="S25" s="41">
        <f t="shared" ref="S25:V40" si="12">N25*$C25</f>
        <v>0</v>
      </c>
      <c r="T25" s="42">
        <f t="shared" si="12"/>
        <v>0</v>
      </c>
      <c r="U25" s="43">
        <f t="shared" si="12"/>
        <v>0</v>
      </c>
      <c r="V25" s="43">
        <f t="shared" si="12"/>
        <v>0</v>
      </c>
      <c r="W25" s="44">
        <f>SUM(S25:V25)</f>
        <v>0</v>
      </c>
      <c r="X25" s="82">
        <f>IF($B25=AP$20,'OBC Cost _Van Oord 2022'!$E$30,0)</f>
        <v>0</v>
      </c>
      <c r="Y25" s="38">
        <f>IF(X25&gt;0,0,SUM(IF(AND(MOD(($B25-AP$20),AP$13)=0,$B25&gt;=AP$20),AR$13,0)+IF(AND(MOD(($B25-AP$20),AP$14)=0,$B25&gt;=AP$20),AR$14,0)+IF(AND(MOD(($B25-AP$20),AP$15)=0,$B25&gt;=AP$20),AR$15,0)+IF(AND(MOD(($B25-AP$20),AP$16)=0,$B25&gt;=AP$20),AR$16,0)+IF(AND(MOD(($B25-AP$20),AP$17)=0,$B25&gt;=AP$20),AR$17,0)+IF(AND(MOD(($B25-AP$20),AP$18)=0,$B25&gt;=AP$20),AR$18,0)+IF(AND(MOD(($B25-AP$20),AP$19)=0,$B25&gt;=AP$20),AR$19,0)))</f>
        <v>0</v>
      </c>
      <c r="Z25" s="38"/>
      <c r="AA25" s="38"/>
      <c r="AB25" s="38"/>
      <c r="AC25" s="38"/>
      <c r="AD25" s="38"/>
      <c r="AE25" s="38"/>
      <c r="AF25" s="370"/>
      <c r="AG25" s="38"/>
      <c r="AH25" s="38"/>
      <c r="AI25" s="38"/>
      <c r="AJ25" s="38"/>
      <c r="AK25" s="38"/>
      <c r="AL25" s="38"/>
      <c r="AM25" s="38"/>
      <c r="AN25" s="38"/>
      <c r="AO25" s="38"/>
      <c r="AP25" s="38"/>
      <c r="AQ25" s="91"/>
      <c r="AR25" s="39"/>
      <c r="AS25" s="40">
        <f t="shared" ref="AS25:AS56" si="13">SUM(X25:AR25)</f>
        <v>0</v>
      </c>
      <c r="AT25" s="41">
        <f t="shared" ref="AT25:AT56" si="14">X25*$C25</f>
        <v>0</v>
      </c>
      <c r="AU25" s="42">
        <f t="shared" ref="AU25:AU56" si="15">Y25*$C25</f>
        <v>0</v>
      </c>
      <c r="AV25" s="43"/>
      <c r="AW25" s="43"/>
      <c r="AX25" s="43"/>
      <c r="AY25" s="43"/>
      <c r="AZ25" s="43"/>
      <c r="BA25" s="43"/>
      <c r="BB25" s="43"/>
      <c r="BC25" s="43"/>
      <c r="BD25" s="43"/>
      <c r="BE25" s="43"/>
      <c r="BF25" s="43"/>
      <c r="BG25" s="43"/>
      <c r="BH25" s="43"/>
      <c r="BI25" s="43"/>
      <c r="BJ25" s="43"/>
      <c r="BK25" s="43"/>
      <c r="BL25" s="43"/>
      <c r="BM25" s="43">
        <f t="shared" ref="BM25:BM26" si="16">AR25*$C25</f>
        <v>0</v>
      </c>
      <c r="BN25" s="44">
        <f t="shared" ref="BN25:BN56" si="17">SUM(AT25:BM25)</f>
        <v>0</v>
      </c>
      <c r="BO25" s="82">
        <f>IF($B25=BQ$20,'Construction Costs_2022'!$K$84+'Construction Costs_2022'!$K$7,0)</f>
        <v>0</v>
      </c>
      <c r="BP25" s="38">
        <f t="shared" ref="BP25:BP56" si="18">IF(BO25&gt;0,0,SUM(IF(AND(MOD(($B25-BQ$20),BQ$12)=0,$B25&gt;F$20),BR$12,0)+IF(AND(MOD(($B25-F$20),BQ$13)=0,$B25&gt;=F$20),BR$13,0)+IF(AND(MOD(($B25-F$20),BQ$16)=0,$B25&gt;=F$20),BR$16,0)+IF(AND(MOD(($B25-F$20),BQ$17)=0,$B25&gt;=F$20),BR$17,0)+IF(AND(MOD(($B25-F$20),BQ$18)=0,$B25&gt;=F$20),BR$18,0)+IF(AND(MOD(($B25-F$20),BQ$19)=0,$B25&gt;=F$20),BR$19,0)))</f>
        <v>0</v>
      </c>
      <c r="BQ25" s="38"/>
      <c r="BR25" s="39"/>
      <c r="BS25" s="40">
        <f t="shared" ref="BS25:BS26" si="19">SUM(BO25:BR25)</f>
        <v>0</v>
      </c>
      <c r="BT25" s="41">
        <f t="shared" ref="BT25:BW88" si="20">BO25*$C25</f>
        <v>0</v>
      </c>
      <c r="BU25" s="42">
        <f t="shared" si="20"/>
        <v>0</v>
      </c>
      <c r="BV25" s="43">
        <f t="shared" si="20"/>
        <v>0</v>
      </c>
      <c r="BW25" s="43">
        <f t="shared" si="20"/>
        <v>0</v>
      </c>
      <c r="BX25" s="44">
        <f>SUM(BT25:BW25)</f>
        <v>0</v>
      </c>
      <c r="BY25" s="82">
        <f>IF($B25=CA$20,'Construction Costs_2022'!$K$104+'Construction Costs_2022'!$K$7,0)</f>
        <v>0</v>
      </c>
      <c r="BZ25" s="38">
        <f t="shared" ref="BZ25:BZ56" si="21">IF(BY25&gt;0,0,SUM(IF(AND(MOD(($B25-CA$20),CA$12)=0,$B25&gt;F$20),CB$12,0)+IF(AND(MOD(($B25-F$20),CA$13)=0,$B25&gt;=F$20),CB$13,0)+IF(AND(MOD(($B25-F$20),CA$16)=0,$B25&gt;=F$20),CB$16,0)+IF(AND(MOD(($B25-F$20),CA$17)=0,$B25&gt;=F$20),CB$17,0)+IF(AND(MOD(($B25-F$20),CA$18)=0,$B25&gt;=F$20),CB$18,0)+IF(AND(MOD(($B25-F$20),CA$19)=0,$B25&gt;=F$20),CB$19,0)))</f>
        <v>0</v>
      </c>
      <c r="CA25" s="38"/>
      <c r="CB25" s="39"/>
      <c r="CC25" s="40">
        <f t="shared" ref="CC25:CC26" si="22">SUM(BY25:CB25)</f>
        <v>0</v>
      </c>
      <c r="CD25" s="41">
        <f t="shared" ref="CD25:CG88" si="23">BY25*$C25</f>
        <v>0</v>
      </c>
      <c r="CE25" s="42">
        <f t="shared" si="23"/>
        <v>0</v>
      </c>
      <c r="CF25" s="43">
        <f t="shared" si="23"/>
        <v>0</v>
      </c>
      <c r="CG25" s="43">
        <f t="shared" si="23"/>
        <v>0</v>
      </c>
      <c r="CH25" s="44">
        <f>SUM(CD25:CG25)</f>
        <v>0</v>
      </c>
      <c r="CI25" s="82">
        <f>IF($B25=DA$20,'OBC Cost _Van Oord 2022'!$E$30,0)</f>
        <v>0</v>
      </c>
      <c r="CJ25" s="38">
        <f>IF(CI25&gt;0,0,SUM(IF(AND(MOD(($B25-DA$20),DA$13)=0,$B25&gt;=DA$20),DC$13,0)+IF(AND(MOD(($B25-DA$20),DA$14)=0,$B25&gt;=DA$20),DC$14,0)+IF(AND(MOD(($B25-DA$20),DA$15)=0,$B25&gt;=DA$20),DC$15,0)+IF(AND(MOD(($B25-DA$20),DA$16)=0,$B25&gt;=DA$20),DC$16,0)+IF(AND(MOD(($B25-DA$20),DA$17)=0,$B25&gt;=DA$20),DC$17,0)+IF(AND(MOD(($B25-DA$20),DA$18)=0,$B25&gt;=DA$20),DC$18,0)+IF(AND(MOD(($B25-DA$20),DA$19)=0,$B25&gt;=DA$20),DC$19,0)))</f>
        <v>0</v>
      </c>
      <c r="CK25" s="38"/>
      <c r="CL25" s="38"/>
      <c r="CM25" s="38"/>
      <c r="CN25" s="38"/>
      <c r="CO25" s="38"/>
      <c r="CP25" s="38"/>
      <c r="CQ25" s="370"/>
      <c r="CR25" s="38"/>
      <c r="CS25" s="38"/>
      <c r="CT25" s="38"/>
      <c r="CU25" s="38"/>
      <c r="CV25" s="38"/>
      <c r="CW25" s="38"/>
      <c r="CX25" s="38"/>
      <c r="CY25" s="38"/>
      <c r="CZ25" s="38"/>
      <c r="DA25" s="38"/>
      <c r="DB25" s="45">
        <f t="shared" ref="DB25:DB27" si="24">0.3*CJ25</f>
        <v>0</v>
      </c>
      <c r="DC25" s="39"/>
      <c r="DD25" s="40">
        <f t="shared" ref="DD25:DD56" si="25">SUM(CI25:DC25)</f>
        <v>0</v>
      </c>
      <c r="DE25" s="41">
        <f t="shared" ref="DE25:DE26" si="26">CI25*$C25</f>
        <v>0</v>
      </c>
      <c r="DF25" s="42">
        <f t="shared" ref="DF25:DF88" si="27">CJ25*$C25</f>
        <v>0</v>
      </c>
      <c r="DG25" s="43"/>
      <c r="DH25" s="43"/>
      <c r="DI25" s="43"/>
      <c r="DJ25" s="43"/>
      <c r="DK25" s="43"/>
      <c r="DL25" s="43"/>
      <c r="DM25" s="43"/>
      <c r="DN25" s="43"/>
      <c r="DO25" s="43"/>
      <c r="DP25" s="43"/>
      <c r="DQ25" s="43"/>
      <c r="DR25" s="43"/>
      <c r="DS25" s="43"/>
      <c r="DT25" s="43"/>
      <c r="DU25" s="43"/>
      <c r="DV25" s="43"/>
      <c r="DW25" s="43"/>
      <c r="DX25" s="43">
        <f t="shared" ref="DX25:DX26" si="28">DC25*$C25</f>
        <v>0</v>
      </c>
      <c r="DY25" s="44">
        <f t="shared" ref="DY25:DY56" si="29">SUM(DE25:DX25)</f>
        <v>0</v>
      </c>
    </row>
    <row r="26" spans="1:129" s="3" customFormat="1" ht="12.75" x14ac:dyDescent="0.2">
      <c r="B26" s="12">
        <f t="shared" ref="B26:B89" si="30">B25+1</f>
        <v>1</v>
      </c>
      <c r="C26" s="13">
        <f t="shared" ref="C26:C55" si="31">C25/(1+$E$9)</f>
        <v>0.96618357487922713</v>
      </c>
      <c r="D26" s="82">
        <f>IF($B26=F$20,'Construction Costs_2022'!$K$22+'Construction Costs_2022'!$K$7,0)</f>
        <v>0</v>
      </c>
      <c r="E26" s="38">
        <f t="shared" ref="E26:E89" si="32">IF(D26&gt;0,0,SUM(IF(AND(MOD(($B26-F$20),F$13)=0,$B26&gt;=F$20),G$13,0)+IF(AND(MOD(($B26-F$20),F$14)=0,$B26&gt;=F$20),G$14,0)+IF(AND(MOD(($B26-F$20),F$15)=0,$B26&gt;=F$20),G$15,0)+IF(AND(MOD(($B26-F$20),F$16)=0,$B26&gt;=F$20),G$16,0)+IF(AND(MOD(($B26-F$20),F$17)=0,$B26&gt;=F$20),G$17,0)+IF(AND(MOD(($B26-F$20),F$18)=0,$B26&gt;=F$20),G$18,0)+IF(AND(MOD(($B26-F$20),F$19)=0,$B26&gt;=F$20),G$19,0)))</f>
        <v>0</v>
      </c>
      <c r="F26" s="38"/>
      <c r="G26" s="45"/>
      <c r="H26" s="46">
        <f t="shared" si="10"/>
        <v>0</v>
      </c>
      <c r="I26" s="41">
        <f t="shared" si="11"/>
        <v>0</v>
      </c>
      <c r="J26" s="41">
        <f t="shared" si="11"/>
        <v>0</v>
      </c>
      <c r="K26" s="47">
        <f t="shared" si="11"/>
        <v>0</v>
      </c>
      <c r="L26" s="47">
        <f t="shared" si="11"/>
        <v>0</v>
      </c>
      <c r="M26" s="48">
        <f t="shared" ref="M26:M89" si="33">SUM(I26:L26)</f>
        <v>0</v>
      </c>
      <c r="N26" s="91">
        <f>IF($B26=P$20,'Construction Costs_2022'!$K$43+'Construction Costs_2022'!$K$7,0)</f>
        <v>0</v>
      </c>
      <c r="O26" s="38">
        <f t="shared" ref="O26:O89" si="34">IF(N26&gt;0,0,SUM(IF(AND(MOD(($B26-P$20),P$13)=0,$B26&gt;=P$20),Q$13,0)+IF(AND(MOD(($B26-P$20),P$14)=0,$B26&gt;=P$20),Q$14,0)+IF(AND(MOD(($B26-P$20),P$15)=0,$B26&gt;=P$20),Q$15,0)+IF(AND(MOD(($B26-P$20),P$16)=0,$B26&gt;=P$20),Q$16,0)+IF(AND(MOD(($B26-P$20),P$17)=0,$B26&gt;=P$20),Q$17,0)+IF(AND(MOD(($B26-P$20),P$18)=0,$B26&gt;=P$20),Q$18,0)+IF(AND(MOD(($B26-P$20),P$19)=0,$B26&gt;=P$20),Q$19,0)))</f>
        <v>0</v>
      </c>
      <c r="P26" s="38"/>
      <c r="Q26" s="45"/>
      <c r="R26" s="46">
        <f t="shared" ref="R26:R56" si="35">SUM(N26:Q26)</f>
        <v>0</v>
      </c>
      <c r="S26" s="41">
        <f t="shared" si="12"/>
        <v>0</v>
      </c>
      <c r="T26" s="41">
        <f t="shared" si="12"/>
        <v>0</v>
      </c>
      <c r="U26" s="47">
        <f t="shared" si="12"/>
        <v>0</v>
      </c>
      <c r="V26" s="47">
        <f t="shared" si="12"/>
        <v>0</v>
      </c>
      <c r="W26" s="48">
        <f t="shared" ref="W26:W89" si="36">SUM(S26:V26)</f>
        <v>0</v>
      </c>
      <c r="X26" s="82">
        <f>IF($B26=AP$20,'OBC Cost _Van Oord 2022'!$E$30,0)</f>
        <v>0</v>
      </c>
      <c r="Y26" s="38">
        <f t="shared" ref="Y26:Y89" si="37">IF(X26&gt;0,0,SUM(IF(AND(MOD(($B26-AP$20),AP$13)=0,$B26&gt;=AP$20),AR$13,0)+IF(AND(MOD(($B26-AP$20),AP$14)=0,$B26&gt;=AP$20),AR$14,0)+IF(AND(MOD(($B26-AP$20),AP$15)=0,$B26&gt;=AP$20),AR$15,0)+IF(AND(MOD(($B26-AP$20),AP$16)=0,$B26&gt;=AP$20),AR$16,0)+IF(AND(MOD(($B26-AP$20),AP$17)=0,$B26&gt;=AP$20),AR$17,0)+IF(AND(MOD(($B26-AP$20),AP$18)=0,$B26&gt;=AP$20),AR$18,0)+IF(AND(MOD(($B26-AP$20),AP$19)=0,$B26&gt;=AP$20),AR$19,0)))</f>
        <v>0</v>
      </c>
      <c r="Z26" s="38"/>
      <c r="AA26" s="38">
        <f>CL26</f>
        <v>50000</v>
      </c>
      <c r="AB26" s="38">
        <f t="shared" ref="AB26:AP26" si="38">CM26</f>
        <v>375000</v>
      </c>
      <c r="AC26" s="38">
        <f>CN26-50000</f>
        <v>345000</v>
      </c>
      <c r="AD26" s="38">
        <f t="shared" si="38"/>
        <v>0</v>
      </c>
      <c r="AE26" s="38">
        <f t="shared" si="38"/>
        <v>0</v>
      </c>
      <c r="AF26" s="38">
        <f t="shared" si="38"/>
        <v>0</v>
      </c>
      <c r="AG26" s="38">
        <f t="shared" si="38"/>
        <v>0</v>
      </c>
      <c r="AH26" s="38">
        <f t="shared" si="38"/>
        <v>0</v>
      </c>
      <c r="AI26" s="38">
        <f t="shared" si="38"/>
        <v>0</v>
      </c>
      <c r="AJ26" s="38">
        <f t="shared" si="38"/>
        <v>0</v>
      </c>
      <c r="AK26" s="38">
        <f t="shared" si="38"/>
        <v>0</v>
      </c>
      <c r="AL26" s="38">
        <f t="shared" si="38"/>
        <v>0</v>
      </c>
      <c r="AM26" s="38">
        <f t="shared" si="38"/>
        <v>0</v>
      </c>
      <c r="AN26" s="38">
        <f t="shared" si="38"/>
        <v>0</v>
      </c>
      <c r="AO26" s="38">
        <f t="shared" si="38"/>
        <v>45000</v>
      </c>
      <c r="AP26" s="38">
        <f t="shared" si="38"/>
        <v>0</v>
      </c>
      <c r="AQ26" s="45"/>
      <c r="AR26" s="45"/>
      <c r="AS26" s="46">
        <f t="shared" si="13"/>
        <v>815000</v>
      </c>
      <c r="AT26" s="41">
        <f t="shared" si="14"/>
        <v>0</v>
      </c>
      <c r="AU26" s="41">
        <f t="shared" si="15"/>
        <v>0</v>
      </c>
      <c r="AV26" s="47">
        <f>Z26*$C$26</f>
        <v>0</v>
      </c>
      <c r="AW26" s="47">
        <f>AA26*$C$26</f>
        <v>48309.178743961354</v>
      </c>
      <c r="AX26" s="47">
        <f>AB26*$C$26</f>
        <v>362318.84057971014</v>
      </c>
      <c r="AY26" s="47">
        <f>AC26*$C$26</f>
        <v>333333.33333333337</v>
      </c>
      <c r="AZ26" s="47">
        <f t="shared" ref="AZ26" si="39">AD26*$C$26</f>
        <v>0</v>
      </c>
      <c r="BA26" s="47">
        <f t="shared" ref="BA26" si="40">AE26*$C$26</f>
        <v>0</v>
      </c>
      <c r="BB26" s="47">
        <f t="shared" ref="BB26" si="41">AF26*$C$26</f>
        <v>0</v>
      </c>
      <c r="BC26" s="47">
        <f t="shared" ref="BC26" si="42">AG26*$C$26</f>
        <v>0</v>
      </c>
      <c r="BD26" s="47">
        <f t="shared" ref="BD26" si="43">AH26*$C$26</f>
        <v>0</v>
      </c>
      <c r="BE26" s="47">
        <f t="shared" ref="BE26" si="44">AI26*$C$26</f>
        <v>0</v>
      </c>
      <c r="BF26" s="47">
        <f t="shared" ref="BF26" si="45">AJ26*$C$26</f>
        <v>0</v>
      </c>
      <c r="BG26" s="47">
        <f t="shared" ref="BG26" si="46">AK26*$C$26</f>
        <v>0</v>
      </c>
      <c r="BH26" s="47">
        <f t="shared" ref="BH26" si="47">AL26*$C$26</f>
        <v>0</v>
      </c>
      <c r="BI26" s="47">
        <f t="shared" ref="BI26" si="48">AM26*$C$26</f>
        <v>0</v>
      </c>
      <c r="BJ26" s="47">
        <f t="shared" ref="BJ26" si="49">AN26*$C$26</f>
        <v>0</v>
      </c>
      <c r="BK26" s="47">
        <f t="shared" ref="BK26" si="50">AO26*$C$26</f>
        <v>43478.260869565223</v>
      </c>
      <c r="BL26" s="47">
        <f t="shared" ref="BL26" si="51">AP26*$C$26</f>
        <v>0</v>
      </c>
      <c r="BM26" s="47">
        <f t="shared" si="16"/>
        <v>0</v>
      </c>
      <c r="BN26" s="48">
        <f t="shared" si="17"/>
        <v>787439.61352657003</v>
      </c>
      <c r="BO26" s="82">
        <f>IF($B26=BQ$20,'Construction Costs_2022'!$K$84+'Construction Costs_2022'!$K$7,0)</f>
        <v>0</v>
      </c>
      <c r="BP26" s="38">
        <f t="shared" si="18"/>
        <v>0</v>
      </c>
      <c r="BQ26" s="38"/>
      <c r="BR26" s="45"/>
      <c r="BS26" s="46">
        <f t="shared" si="19"/>
        <v>0</v>
      </c>
      <c r="BT26" s="41">
        <f t="shared" si="20"/>
        <v>0</v>
      </c>
      <c r="BU26" s="41">
        <f t="shared" si="20"/>
        <v>0</v>
      </c>
      <c r="BV26" s="47">
        <f t="shared" si="20"/>
        <v>0</v>
      </c>
      <c r="BW26" s="47">
        <f t="shared" si="20"/>
        <v>0</v>
      </c>
      <c r="BX26" s="48">
        <f t="shared" ref="BX26:BX89" si="52">SUM(BT26:BW26)</f>
        <v>0</v>
      </c>
      <c r="BY26" s="82">
        <f>IF($B26=CA$20,'Construction Costs_2022'!$K$104+'Construction Costs_2022'!$K$7,0)</f>
        <v>0</v>
      </c>
      <c r="BZ26" s="38">
        <f t="shared" si="21"/>
        <v>0</v>
      </c>
      <c r="CA26" s="38"/>
      <c r="CB26" s="45"/>
      <c r="CC26" s="46">
        <f t="shared" si="22"/>
        <v>0</v>
      </c>
      <c r="CD26" s="41">
        <f t="shared" si="23"/>
        <v>0</v>
      </c>
      <c r="CE26" s="41">
        <f t="shared" si="23"/>
        <v>0</v>
      </c>
      <c r="CF26" s="47">
        <f t="shared" si="23"/>
        <v>0</v>
      </c>
      <c r="CG26" s="47">
        <f t="shared" si="23"/>
        <v>0</v>
      </c>
      <c r="CH26" s="48">
        <f t="shared" ref="CH26:CH89" si="53">SUM(CD26:CG26)</f>
        <v>0</v>
      </c>
      <c r="CI26" s="82">
        <f>IF($B26=DA$20,'OBC Cost _Van Oord 2022'!$E$30,0)</f>
        <v>0</v>
      </c>
      <c r="CJ26" s="38">
        <f t="shared" ref="CJ26:CJ89" si="54">IF(CI26&gt;0,0,SUM(IF(AND(MOD(($B26-DA$20),DA$13)=0,$B26&gt;=DA$20),DC$13,0)+IF(AND(MOD(($B26-DA$20),DA$14)=0,$B26&gt;=DA$20),DC$14,0)+IF(AND(MOD(($B26-DA$20),DA$15)=0,$B26&gt;=DA$20),DC$15,0)+IF(AND(MOD(($B26-DA$20),DA$16)=0,$B26&gt;=DA$20),DC$16,0)+IF(AND(MOD(($B26-DA$20),DA$17)=0,$B26&gt;=DA$20),DC$17,0)+IF(AND(MOD(($B26-DA$20),DA$18)=0,$B26&gt;=DA$20),DC$18,0)+IF(AND(MOD(($B26-DA$20),DA$19)=0,$B26&gt;=DA$20),DC$19,0)))</f>
        <v>0</v>
      </c>
      <c r="CK26" s="38"/>
      <c r="CL26" s="38">
        <f>+'Future cost, inflation and risk'!C33</f>
        <v>50000</v>
      </c>
      <c r="CM26" s="38">
        <f>+'Future cost, inflation and risk'!C35</f>
        <v>375000</v>
      </c>
      <c r="CN26" s="38">
        <f>+'Future cost, inflation and risk'!C34</f>
        <v>395000</v>
      </c>
      <c r="CO26" s="38">
        <v>0</v>
      </c>
      <c r="CP26" s="38">
        <v>0</v>
      </c>
      <c r="CQ26" s="370"/>
      <c r="CR26" s="38"/>
      <c r="CS26" s="38"/>
      <c r="CT26" s="38"/>
      <c r="CU26" s="38"/>
      <c r="CV26" s="38"/>
      <c r="CW26" s="38"/>
      <c r="CX26" s="38"/>
      <c r="CY26" s="38"/>
      <c r="CZ26" s="38">
        <f>+'Future cost, inflation and risk'!C38</f>
        <v>45000</v>
      </c>
      <c r="DA26" s="38"/>
      <c r="DB26" s="45">
        <f t="shared" si="24"/>
        <v>0</v>
      </c>
      <c r="DC26" s="45"/>
      <c r="DD26" s="46">
        <f t="shared" si="25"/>
        <v>865000</v>
      </c>
      <c r="DE26" s="41">
        <f t="shared" si="26"/>
        <v>0</v>
      </c>
      <c r="DF26" s="41">
        <f t="shared" si="27"/>
        <v>0</v>
      </c>
      <c r="DG26" s="547">
        <f>CK26*$C$26</f>
        <v>0</v>
      </c>
      <c r="DH26" s="41">
        <f>CL26*$C$26</f>
        <v>48309.178743961354</v>
      </c>
      <c r="DI26" s="41">
        <f>CM26*$C$26</f>
        <v>362318.84057971014</v>
      </c>
      <c r="DJ26" s="41">
        <f>CN26*$C$26</f>
        <v>381642.5120772947</v>
      </c>
      <c r="DK26" s="47">
        <f t="shared" ref="DK26:DK47" si="55">CO26*$C$26</f>
        <v>0</v>
      </c>
      <c r="DL26" s="47">
        <f t="shared" ref="DL26:DL47" si="56">CP26*$C$26</f>
        <v>0</v>
      </c>
      <c r="DM26" s="47">
        <f t="shared" ref="DM26:DM47" si="57">CQ26*$C$26</f>
        <v>0</v>
      </c>
      <c r="DN26" s="47">
        <f t="shared" ref="DN26:DN47" si="58">CR26*$C$26</f>
        <v>0</v>
      </c>
      <c r="DO26" s="47">
        <f t="shared" ref="DO26:DO47" si="59">CS26*$C$26</f>
        <v>0</v>
      </c>
      <c r="DP26" s="47">
        <f t="shared" ref="DP26:DP47" si="60">CT26*$C$26</f>
        <v>0</v>
      </c>
      <c r="DQ26" s="47">
        <f t="shared" ref="DQ26:DQ47" si="61">CU26*$C$26</f>
        <v>0</v>
      </c>
      <c r="DR26" s="47">
        <f t="shared" ref="DR26:DR47" si="62">CV26*$C$26</f>
        <v>0</v>
      </c>
      <c r="DS26" s="47">
        <f t="shared" ref="DS26:DS27" si="63">CW26*$C$26</f>
        <v>0</v>
      </c>
      <c r="DT26" s="47">
        <f t="shared" ref="DT26:DT47" si="64">CX26*$C$26</f>
        <v>0</v>
      </c>
      <c r="DU26" s="47">
        <f t="shared" ref="DU26:DU47" si="65">CY26*$C$26</f>
        <v>0</v>
      </c>
      <c r="DV26" s="47">
        <f t="shared" ref="DV26:DV47" si="66">CZ26*$C$26</f>
        <v>43478.260869565223</v>
      </c>
      <c r="DW26" s="47">
        <f t="shared" ref="DW26:DW47" si="67">DA26*$C$26</f>
        <v>0</v>
      </c>
      <c r="DX26" s="47">
        <f t="shared" si="28"/>
        <v>0</v>
      </c>
      <c r="DY26" s="48">
        <f t="shared" si="29"/>
        <v>835748.79227053141</v>
      </c>
    </row>
    <row r="27" spans="1:129" s="3" customFormat="1" ht="12.75" x14ac:dyDescent="0.2">
      <c r="B27" s="12">
        <f t="shared" si="30"/>
        <v>2</v>
      </c>
      <c r="C27" s="13">
        <f t="shared" si="31"/>
        <v>0.93351070036640305</v>
      </c>
      <c r="D27" s="82">
        <f>IF($B27=F$20,'Construction Costs_2022'!$K$22+'Construction Costs_2022'!$K$7,0)</f>
        <v>8257454.7049041586</v>
      </c>
      <c r="E27" s="38">
        <f t="shared" si="32"/>
        <v>0</v>
      </c>
      <c r="F27" s="38"/>
      <c r="G27" s="45"/>
      <c r="H27" s="46">
        <f>SUM(D27:G27)</f>
        <v>8257454.7049041586</v>
      </c>
      <c r="I27" s="41">
        <f>D27*$C27</f>
        <v>7708422.3248189315</v>
      </c>
      <c r="J27" s="41">
        <f t="shared" si="11"/>
        <v>0</v>
      </c>
      <c r="K27" s="47">
        <f t="shared" si="11"/>
        <v>0</v>
      </c>
      <c r="L27" s="47">
        <f t="shared" si="11"/>
        <v>0</v>
      </c>
      <c r="M27" s="92">
        <f>SUM(I27:L27)</f>
        <v>7708422.3248189315</v>
      </c>
      <c r="N27" s="91">
        <f>IF($B27=P$20,'Construction Costs_2022'!$K$43+'Construction Costs_2022'!$K$7,0)</f>
        <v>8539893.595808316</v>
      </c>
      <c r="O27" s="38">
        <f t="shared" si="34"/>
        <v>0</v>
      </c>
      <c r="P27" s="38"/>
      <c r="Q27" s="45"/>
      <c r="R27" s="46">
        <f>SUM(N27:Q27)</f>
        <v>8539893.595808316</v>
      </c>
      <c r="S27" s="41">
        <f t="shared" si="12"/>
        <v>7972082.0516775809</v>
      </c>
      <c r="T27" s="41">
        <f>O27*$C27</f>
        <v>0</v>
      </c>
      <c r="U27" s="47">
        <f t="shared" si="12"/>
        <v>0</v>
      </c>
      <c r="V27" s="47">
        <f t="shared" si="12"/>
        <v>0</v>
      </c>
      <c r="W27" s="92">
        <f t="shared" si="36"/>
        <v>7972082.0516775809</v>
      </c>
      <c r="X27" s="82">
        <f>IF($B27=AP$20,'OBC Cost _Van Oord 2022'!$E$30-'OBC Cost _Van Oord 2022'!E19,0)</f>
        <v>9070371.9241785407</v>
      </c>
      <c r="Y27" s="38">
        <f t="shared" si="37"/>
        <v>0</v>
      </c>
      <c r="Z27" s="38"/>
      <c r="AA27" s="38">
        <f>CL27</f>
        <v>0</v>
      </c>
      <c r="AB27" s="38">
        <f t="shared" ref="AB27" si="68">CM27</f>
        <v>0</v>
      </c>
      <c r="AC27" s="38">
        <f t="shared" ref="AC27" si="69">CN27</f>
        <v>0</v>
      </c>
      <c r="AD27" s="38">
        <f t="shared" ref="AD27" si="70">CO27</f>
        <v>0</v>
      </c>
      <c r="AE27" s="38">
        <f t="shared" ref="AE27" si="71">CP27</f>
        <v>0</v>
      </c>
      <c r="AF27" s="38">
        <f t="shared" ref="AF27" si="72">CQ27</f>
        <v>0</v>
      </c>
      <c r="AG27" s="38">
        <f t="shared" ref="AG27" si="73">CR27</f>
        <v>0</v>
      </c>
      <c r="AH27" s="38">
        <f t="shared" ref="AH27" si="74">CS27</f>
        <v>0</v>
      </c>
      <c r="AI27" s="38">
        <f t="shared" ref="AI27" si="75">CT27</f>
        <v>0</v>
      </c>
      <c r="AJ27" s="38">
        <f t="shared" ref="AJ27" si="76">CU27</f>
        <v>0</v>
      </c>
      <c r="AK27" s="38">
        <f t="shared" ref="AK27" si="77">CV27</f>
        <v>0</v>
      </c>
      <c r="AL27" s="38">
        <f t="shared" ref="AL27" si="78">CW27</f>
        <v>0</v>
      </c>
      <c r="AM27" s="38">
        <f t="shared" ref="AM27" si="79">CX27</f>
        <v>267375</v>
      </c>
      <c r="AN27" s="38">
        <f t="shared" ref="AN27" si="80">CY27</f>
        <v>0</v>
      </c>
      <c r="AO27" s="38">
        <f t="shared" ref="AO27" si="81">CZ27</f>
        <v>0</v>
      </c>
      <c r="AP27" s="38">
        <f t="shared" ref="AP27" si="82">DA27</f>
        <v>5125587.453411852</v>
      </c>
      <c r="AQ27" s="45"/>
      <c r="AR27" s="45"/>
      <c r="AS27" s="46">
        <f t="shared" si="13"/>
        <v>14463334.377590392</v>
      </c>
      <c r="AT27" s="41">
        <f>X27*$C27</f>
        <v>8467289.2475236692</v>
      </c>
      <c r="AU27" s="41">
        <f t="shared" si="15"/>
        <v>0</v>
      </c>
      <c r="AV27" s="47"/>
      <c r="AW27" s="47"/>
      <c r="AX27" s="47"/>
      <c r="AY27" s="47"/>
      <c r="AZ27" s="47">
        <f t="shared" ref="AZ27:AZ47" si="83">AD27*$C$26</f>
        <v>0</v>
      </c>
      <c r="BA27" s="47">
        <f t="shared" ref="BA27:BA47" si="84">AE27*$C$26</f>
        <v>0</v>
      </c>
      <c r="BB27" s="47">
        <f t="shared" ref="BB27:BB47" si="85">AF27*$C$26</f>
        <v>0</v>
      </c>
      <c r="BC27" s="47">
        <f t="shared" ref="BC27:BC47" si="86">AG27*$C$26</f>
        <v>0</v>
      </c>
      <c r="BD27" s="47">
        <f t="shared" ref="BD27:BD47" si="87">AH27*$C$26</f>
        <v>0</v>
      </c>
      <c r="BE27" s="47">
        <f t="shared" ref="BE27:BE47" si="88">AI27*$C$26</f>
        <v>0</v>
      </c>
      <c r="BF27" s="47">
        <f t="shared" ref="BF27:BF47" si="89">AJ27*$C$26</f>
        <v>0</v>
      </c>
      <c r="BG27" s="47">
        <f t="shared" ref="BG27:BG47" si="90">AK27*$C$26</f>
        <v>0</v>
      </c>
      <c r="BH27" s="47">
        <f>AL27*$C$26</f>
        <v>0</v>
      </c>
      <c r="BI27" s="47">
        <f t="shared" ref="BI27:BI47" si="91">AM27*$C$26</f>
        <v>258333.33333333334</v>
      </c>
      <c r="BJ27" s="47">
        <f t="shared" ref="BJ27:BJ47" si="92">AN27*$C$26</f>
        <v>0</v>
      </c>
      <c r="BK27" s="47">
        <f t="shared" ref="BK27:BK47" si="93">AO27*$C$26</f>
        <v>0</v>
      </c>
      <c r="BL27" s="47">
        <f t="shared" ref="BL27:BL47" si="94">AP27*$C$26</f>
        <v>4952258.4090935774</v>
      </c>
      <c r="BM27" s="47">
        <f>AQ27*$C27</f>
        <v>0</v>
      </c>
      <c r="BN27" s="92">
        <f t="shared" si="17"/>
        <v>13677880.989950581</v>
      </c>
      <c r="BO27" s="82">
        <f>IF($B27=BQ$20,'Construction Costs_2022'!$K$84+'Construction Costs_2022'!$K$7,0)</f>
        <v>9382808.1510826983</v>
      </c>
      <c r="BP27" s="38">
        <f t="shared" si="18"/>
        <v>0</v>
      </c>
      <c r="BQ27" s="38"/>
      <c r="BR27" s="45"/>
      <c r="BS27" s="46">
        <f>SUM(BO27:BR27)</f>
        <v>9382808.1510826983</v>
      </c>
      <c r="BT27" s="41">
        <f t="shared" si="20"/>
        <v>8758951.8085208051</v>
      </c>
      <c r="BU27" s="41">
        <f t="shared" si="20"/>
        <v>0</v>
      </c>
      <c r="BV27" s="47">
        <f t="shared" si="20"/>
        <v>0</v>
      </c>
      <c r="BW27" s="47">
        <f t="shared" si="20"/>
        <v>0</v>
      </c>
      <c r="BX27" s="92">
        <f t="shared" si="52"/>
        <v>8758951.8085208051</v>
      </c>
      <c r="BY27" s="82">
        <f>IF($B27=CA$20,'Construction Costs_2022'!$K$104+'Construction Costs_2022'!$K$7,0)</f>
        <v>10029350.370357079</v>
      </c>
      <c r="BZ27" s="38">
        <f t="shared" si="21"/>
        <v>0</v>
      </c>
      <c r="CA27" s="38"/>
      <c r="CB27" s="45"/>
      <c r="CC27" s="46">
        <f>SUM(BY27:CB27)</f>
        <v>10029350.370357079</v>
      </c>
      <c r="CD27" s="41">
        <f t="shared" si="23"/>
        <v>9362505.888452081</v>
      </c>
      <c r="CE27" s="41">
        <f t="shared" si="23"/>
        <v>0</v>
      </c>
      <c r="CF27" s="47">
        <f t="shared" si="23"/>
        <v>0</v>
      </c>
      <c r="CG27" s="47">
        <f t="shared" si="23"/>
        <v>0</v>
      </c>
      <c r="CH27" s="92">
        <f t="shared" si="53"/>
        <v>9362505.888452081</v>
      </c>
      <c r="CI27" s="82">
        <f>IF($B27=DA$20,'Construction Costs_2022'!K128+'Construction Costs_2022'!K7,0)</f>
        <v>12108570.21417854</v>
      </c>
      <c r="CJ27" s="38">
        <f t="shared" si="54"/>
        <v>0</v>
      </c>
      <c r="CK27" s="38"/>
      <c r="CL27" s="38"/>
      <c r="CM27" s="38"/>
      <c r="CN27" s="38"/>
      <c r="CO27" s="38"/>
      <c r="CP27" s="38"/>
      <c r="CQ27" s="370"/>
      <c r="CR27" s="38"/>
      <c r="CS27" s="38">
        <v>0</v>
      </c>
      <c r="CT27" s="38">
        <v>0</v>
      </c>
      <c r="CU27" s="38">
        <v>0</v>
      </c>
      <c r="CV27" s="38">
        <v>0</v>
      </c>
      <c r="CW27" s="38"/>
      <c r="CX27" s="38">
        <f>+'Future cost, inflation and risk'!C37</f>
        <v>267375</v>
      </c>
      <c r="CY27" s="38"/>
      <c r="CZ27" s="38"/>
      <c r="DA27" s="38">
        <f>+'Future cost, inflation and risk'!C43</f>
        <v>5125587.453411852</v>
      </c>
      <c r="DB27" s="45">
        <f t="shared" si="24"/>
        <v>0</v>
      </c>
      <c r="DC27" s="45"/>
      <c r="DD27" s="46">
        <f>SUM(CI27:DC27)</f>
        <v>17501532.667590391</v>
      </c>
      <c r="DE27" s="41">
        <f>CI27*$C27</f>
        <v>11303479.861073576</v>
      </c>
      <c r="DF27" s="41">
        <f t="shared" si="27"/>
        <v>0</v>
      </c>
      <c r="DG27" s="47"/>
      <c r="DH27" s="47"/>
      <c r="DI27" s="47"/>
      <c r="DJ27" s="47"/>
      <c r="DK27" s="47">
        <f t="shared" si="55"/>
        <v>0</v>
      </c>
      <c r="DL27" s="47">
        <f t="shared" si="56"/>
        <v>0</v>
      </c>
      <c r="DM27" s="47">
        <f t="shared" si="57"/>
        <v>0</v>
      </c>
      <c r="DN27" s="47">
        <f t="shared" si="58"/>
        <v>0</v>
      </c>
      <c r="DO27" s="47">
        <f t="shared" si="59"/>
        <v>0</v>
      </c>
      <c r="DP27" s="47">
        <f t="shared" si="60"/>
        <v>0</v>
      </c>
      <c r="DQ27" s="47">
        <f t="shared" si="61"/>
        <v>0</v>
      </c>
      <c r="DR27" s="47">
        <f t="shared" si="62"/>
        <v>0</v>
      </c>
      <c r="DS27" s="47">
        <f t="shared" si="63"/>
        <v>0</v>
      </c>
      <c r="DT27" s="47">
        <f t="shared" si="64"/>
        <v>258333.33333333334</v>
      </c>
      <c r="DU27" s="47">
        <f t="shared" si="65"/>
        <v>0</v>
      </c>
      <c r="DV27" s="47">
        <f t="shared" si="66"/>
        <v>0</v>
      </c>
      <c r="DW27" s="47">
        <f>DA27*$C$26</f>
        <v>4952258.4090935774</v>
      </c>
      <c r="DX27" s="47">
        <f>DB27*$C27</f>
        <v>0</v>
      </c>
      <c r="DY27" s="92">
        <f t="shared" si="29"/>
        <v>16514071.603500487</v>
      </c>
    </row>
    <row r="28" spans="1:129" s="3" customFormat="1" ht="12.75" x14ac:dyDescent="0.2">
      <c r="B28" s="12">
        <f t="shared" si="30"/>
        <v>3</v>
      </c>
      <c r="C28" s="13">
        <f t="shared" si="31"/>
        <v>0.90194270566802237</v>
      </c>
      <c r="D28" s="82">
        <f>IF($B28=F$20,'Construction Costs_2022'!$K$22+'Construction Costs_2022'!$K$7,0)</f>
        <v>0</v>
      </c>
      <c r="E28" s="38">
        <f t="shared" si="32"/>
        <v>28800</v>
      </c>
      <c r="F28" s="38"/>
      <c r="G28" s="45"/>
      <c r="H28" s="46">
        <f>SUM(D28:G28)</f>
        <v>28800</v>
      </c>
      <c r="I28" s="41">
        <f t="shared" si="11"/>
        <v>0</v>
      </c>
      <c r="J28" s="41">
        <f>E28*$C28</f>
        <v>25975.949923239044</v>
      </c>
      <c r="K28" s="47">
        <f t="shared" si="11"/>
        <v>0</v>
      </c>
      <c r="L28" s="47">
        <f t="shared" si="11"/>
        <v>0</v>
      </c>
      <c r="M28" s="92">
        <f t="shared" si="33"/>
        <v>25975.949923239044</v>
      </c>
      <c r="N28" s="91">
        <f>IF($B28=P$20,'Construction Costs_2022'!$K$43+'Construction Costs_2022'!$K$7,0)</f>
        <v>0</v>
      </c>
      <c r="O28" s="38">
        <f t="shared" si="34"/>
        <v>43200</v>
      </c>
      <c r="P28" s="38"/>
      <c r="Q28" s="45"/>
      <c r="R28" s="46">
        <f t="shared" si="35"/>
        <v>43200</v>
      </c>
      <c r="S28" s="41">
        <f t="shared" si="12"/>
        <v>0</v>
      </c>
      <c r="T28" s="41">
        <f t="shared" si="12"/>
        <v>38963.924884858563</v>
      </c>
      <c r="U28" s="47">
        <f t="shared" si="12"/>
        <v>0</v>
      </c>
      <c r="V28" s="47">
        <f t="shared" si="12"/>
        <v>0</v>
      </c>
      <c r="W28" s="92">
        <f t="shared" si="36"/>
        <v>38963.924884858563</v>
      </c>
      <c r="X28" s="82">
        <f>IF($B28=AP$20,'OBC Cost _Van Oord 2022'!$E$30,0)</f>
        <v>0</v>
      </c>
      <c r="Y28" s="38">
        <f t="shared" si="37"/>
        <v>0</v>
      </c>
      <c r="Z28" s="38"/>
      <c r="AA28" s="38"/>
      <c r="AB28" s="38"/>
      <c r="AC28" s="38"/>
      <c r="AD28" s="38"/>
      <c r="AE28" s="38"/>
      <c r="AF28" s="370"/>
      <c r="AG28" s="38"/>
      <c r="AH28" s="38"/>
      <c r="AI28" s="38"/>
      <c r="AJ28" s="38"/>
      <c r="AK28" s="38"/>
      <c r="AL28" s="38"/>
      <c r="AM28" s="38"/>
      <c r="AN28" s="38"/>
      <c r="AO28" s="38"/>
      <c r="AP28" s="38"/>
      <c r="AQ28" s="45">
        <f>0.26*Y28</f>
        <v>0</v>
      </c>
      <c r="AR28" s="45"/>
      <c r="AS28" s="46">
        <f t="shared" si="13"/>
        <v>0</v>
      </c>
      <c r="AT28" s="41">
        <f t="shared" si="14"/>
        <v>0</v>
      </c>
      <c r="AU28" s="41">
        <f t="shared" si="15"/>
        <v>0</v>
      </c>
      <c r="AV28" s="47"/>
      <c r="AW28" s="47"/>
      <c r="AX28" s="47"/>
      <c r="AY28" s="47"/>
      <c r="AZ28" s="47">
        <f t="shared" si="83"/>
        <v>0</v>
      </c>
      <c r="BA28" s="47">
        <f t="shared" si="84"/>
        <v>0</v>
      </c>
      <c r="BB28" s="47">
        <f t="shared" si="85"/>
        <v>0</v>
      </c>
      <c r="BC28" s="47">
        <f t="shared" si="86"/>
        <v>0</v>
      </c>
      <c r="BD28" s="47">
        <f t="shared" si="87"/>
        <v>0</v>
      </c>
      <c r="BE28" s="47">
        <f t="shared" si="88"/>
        <v>0</v>
      </c>
      <c r="BF28" s="47">
        <f t="shared" si="89"/>
        <v>0</v>
      </c>
      <c r="BG28" s="47">
        <f t="shared" si="90"/>
        <v>0</v>
      </c>
      <c r="BH28" s="47">
        <f t="shared" ref="BH28:BH47" si="95">AL28*$C$26</f>
        <v>0</v>
      </c>
      <c r="BI28" s="47">
        <f t="shared" si="91"/>
        <v>0</v>
      </c>
      <c r="BJ28" s="47">
        <f t="shared" si="92"/>
        <v>0</v>
      </c>
      <c r="BK28" s="47">
        <f t="shared" si="93"/>
        <v>0</v>
      </c>
      <c r="BL28" s="47">
        <f t="shared" si="94"/>
        <v>0</v>
      </c>
      <c r="BM28" s="47">
        <f t="shared" ref="BM28:BM91" si="96">AQ28*$C28</f>
        <v>0</v>
      </c>
      <c r="BN28" s="92">
        <f t="shared" si="17"/>
        <v>0</v>
      </c>
      <c r="BO28" s="82">
        <f>IF($B28=BQ$20,'Construction Costs_2022'!$K$84+'Construction Costs_2022'!$K$7,0)</f>
        <v>0</v>
      </c>
      <c r="BP28" s="38">
        <f t="shared" si="18"/>
        <v>0</v>
      </c>
      <c r="BQ28" s="38"/>
      <c r="BR28" s="45"/>
      <c r="BS28" s="46">
        <f t="shared" ref="BS28:BS91" si="97">SUM(BO28:BR28)</f>
        <v>0</v>
      </c>
      <c r="BT28" s="41">
        <f t="shared" si="20"/>
        <v>0</v>
      </c>
      <c r="BU28" s="41">
        <f t="shared" si="20"/>
        <v>0</v>
      </c>
      <c r="BV28" s="47">
        <f t="shared" si="20"/>
        <v>0</v>
      </c>
      <c r="BW28" s="47">
        <f t="shared" si="20"/>
        <v>0</v>
      </c>
      <c r="BX28" s="92">
        <f t="shared" si="52"/>
        <v>0</v>
      </c>
      <c r="BY28" s="82">
        <f>IF($B28=CA$20,'Construction Costs_2022'!$K$104+'Construction Costs_2022'!$K$7,0)</f>
        <v>0</v>
      </c>
      <c r="BZ28" s="38">
        <f t="shared" si="21"/>
        <v>0</v>
      </c>
      <c r="CA28" s="38"/>
      <c r="CB28" s="45"/>
      <c r="CC28" s="46">
        <f t="shared" ref="CC28:CC91" si="98">SUM(BY28:CB28)</f>
        <v>0</v>
      </c>
      <c r="CD28" s="41">
        <f t="shared" si="23"/>
        <v>0</v>
      </c>
      <c r="CE28" s="41">
        <f t="shared" si="23"/>
        <v>0</v>
      </c>
      <c r="CF28" s="47">
        <f t="shared" si="23"/>
        <v>0</v>
      </c>
      <c r="CG28" s="47">
        <f t="shared" si="23"/>
        <v>0</v>
      </c>
      <c r="CH28" s="92">
        <f t="shared" si="53"/>
        <v>0</v>
      </c>
      <c r="CI28" s="82">
        <f>IF($B28=DA$20,'OBC Cost _Van Oord 2022'!$E$30,0)</f>
        <v>0</v>
      </c>
      <c r="CJ28" s="38">
        <f t="shared" si="54"/>
        <v>0</v>
      </c>
      <c r="CK28" s="38"/>
      <c r="CL28" s="38"/>
      <c r="CM28" s="38"/>
      <c r="CN28" s="38"/>
      <c r="CO28" s="38"/>
      <c r="CP28" s="38"/>
      <c r="CQ28" s="370"/>
      <c r="CR28" s="38"/>
      <c r="CS28" s="38"/>
      <c r="CT28" s="38"/>
      <c r="CU28" s="38"/>
      <c r="CV28" s="38"/>
      <c r="CW28" s="38"/>
      <c r="CX28" s="38"/>
      <c r="CY28" s="38"/>
      <c r="CZ28" s="38"/>
      <c r="DA28" s="38"/>
      <c r="DB28" s="45">
        <f>0.3*CJ28</f>
        <v>0</v>
      </c>
      <c r="DC28" s="45"/>
      <c r="DD28" s="46">
        <f t="shared" si="25"/>
        <v>0</v>
      </c>
      <c r="DE28" s="41">
        <f t="shared" ref="DE28:DE91" si="99">CI28*$C28</f>
        <v>0</v>
      </c>
      <c r="DF28" s="41">
        <f t="shared" si="27"/>
        <v>0</v>
      </c>
      <c r="DG28" s="47"/>
      <c r="DH28" s="47"/>
      <c r="DI28" s="47"/>
      <c r="DJ28" s="47"/>
      <c r="DK28" s="47">
        <f t="shared" si="55"/>
        <v>0</v>
      </c>
      <c r="DL28" s="47">
        <f t="shared" si="56"/>
        <v>0</v>
      </c>
      <c r="DM28" s="47">
        <f t="shared" si="57"/>
        <v>0</v>
      </c>
      <c r="DN28" s="47">
        <f t="shared" si="58"/>
        <v>0</v>
      </c>
      <c r="DO28" s="47">
        <f t="shared" si="59"/>
        <v>0</v>
      </c>
      <c r="DP28" s="47">
        <f t="shared" si="60"/>
        <v>0</v>
      </c>
      <c r="DQ28" s="47">
        <f t="shared" si="61"/>
        <v>0</v>
      </c>
      <c r="DR28" s="47">
        <f t="shared" si="62"/>
        <v>0</v>
      </c>
      <c r="DS28" s="47">
        <f t="shared" ref="DS28:DS47" si="100">CW28*$C$26</f>
        <v>0</v>
      </c>
      <c r="DT28" s="47">
        <f t="shared" si="64"/>
        <v>0</v>
      </c>
      <c r="DU28" s="47">
        <f t="shared" si="65"/>
        <v>0</v>
      </c>
      <c r="DV28" s="47">
        <f t="shared" si="66"/>
        <v>0</v>
      </c>
      <c r="DW28" s="47">
        <f t="shared" si="67"/>
        <v>0</v>
      </c>
      <c r="DX28" s="47">
        <f t="shared" ref="DX28:DX91" si="101">DB28*$C28</f>
        <v>0</v>
      </c>
      <c r="DY28" s="92">
        <f t="shared" si="29"/>
        <v>0</v>
      </c>
    </row>
    <row r="29" spans="1:129" s="3" customFormat="1" ht="12.75" x14ac:dyDescent="0.2">
      <c r="B29" s="12">
        <f t="shared" si="30"/>
        <v>4</v>
      </c>
      <c r="C29" s="13">
        <f t="shared" si="31"/>
        <v>0.87144222769857238</v>
      </c>
      <c r="D29" s="82">
        <f>IF($B29=F$20,'Construction Costs_2022'!$K$22+'Construction Costs_2022'!$K$7,0)</f>
        <v>0</v>
      </c>
      <c r="E29" s="38">
        <f t="shared" si="32"/>
        <v>28800</v>
      </c>
      <c r="F29" s="38"/>
      <c r="G29" s="45"/>
      <c r="H29" s="46">
        <f t="shared" si="10"/>
        <v>28800</v>
      </c>
      <c r="I29" s="41">
        <f t="shared" si="11"/>
        <v>0</v>
      </c>
      <c r="J29" s="41">
        <f t="shared" si="11"/>
        <v>25097.536157718885</v>
      </c>
      <c r="K29" s="47">
        <f t="shared" si="11"/>
        <v>0</v>
      </c>
      <c r="L29" s="47">
        <f t="shared" si="11"/>
        <v>0</v>
      </c>
      <c r="M29" s="92">
        <f t="shared" si="33"/>
        <v>25097.536157718885</v>
      </c>
      <c r="N29" s="91">
        <f>IF($B29=P$20,'Construction Costs_2022'!$K$43+'Construction Costs_2022'!$K$7,0)</f>
        <v>0</v>
      </c>
      <c r="O29" s="38">
        <f t="shared" si="34"/>
        <v>43200</v>
      </c>
      <c r="P29" s="38"/>
      <c r="Q29" s="45"/>
      <c r="R29" s="46">
        <f t="shared" si="35"/>
        <v>43200</v>
      </c>
      <c r="S29" s="41">
        <f t="shared" si="12"/>
        <v>0</v>
      </c>
      <c r="T29" s="41">
        <f t="shared" si="12"/>
        <v>37646.304236578326</v>
      </c>
      <c r="U29" s="47">
        <f t="shared" si="12"/>
        <v>0</v>
      </c>
      <c r="V29" s="47">
        <f t="shared" si="12"/>
        <v>0</v>
      </c>
      <c r="W29" s="92">
        <f t="shared" si="36"/>
        <v>37646.304236578326</v>
      </c>
      <c r="X29" s="82">
        <f>IF($B29=AP$20,'OBC Cost _Van Oord 2022'!$E$30,0)</f>
        <v>0</v>
      </c>
      <c r="Y29" s="38">
        <f t="shared" si="37"/>
        <v>0</v>
      </c>
      <c r="Z29" s="38"/>
      <c r="AA29" s="38"/>
      <c r="AB29" s="38"/>
      <c r="AC29" s="38"/>
      <c r="AD29" s="38"/>
      <c r="AE29" s="38"/>
      <c r="AF29" s="370"/>
      <c r="AG29" s="38"/>
      <c r="AH29" s="38"/>
      <c r="AI29" s="38"/>
      <c r="AJ29" s="38"/>
      <c r="AK29" s="38"/>
      <c r="AL29" s="38"/>
      <c r="AM29" s="38"/>
      <c r="AN29" s="38"/>
      <c r="AO29" s="38"/>
      <c r="AP29" s="38"/>
      <c r="AQ29" s="45">
        <f t="shared" ref="AQ29:AQ92" si="102">0.26*Y29</f>
        <v>0</v>
      </c>
      <c r="AR29" s="45"/>
      <c r="AS29" s="46">
        <f t="shared" si="13"/>
        <v>0</v>
      </c>
      <c r="AT29" s="41">
        <f t="shared" si="14"/>
        <v>0</v>
      </c>
      <c r="AU29" s="41">
        <f t="shared" si="15"/>
        <v>0</v>
      </c>
      <c r="AV29" s="47"/>
      <c r="AW29" s="47"/>
      <c r="AX29" s="47"/>
      <c r="AY29" s="47"/>
      <c r="AZ29" s="47">
        <f t="shared" si="83"/>
        <v>0</v>
      </c>
      <c r="BA29" s="47">
        <f t="shared" si="84"/>
        <v>0</v>
      </c>
      <c r="BB29" s="47">
        <f t="shared" si="85"/>
        <v>0</v>
      </c>
      <c r="BC29" s="47">
        <f t="shared" si="86"/>
        <v>0</v>
      </c>
      <c r="BD29" s="47">
        <f t="shared" si="87"/>
        <v>0</v>
      </c>
      <c r="BE29" s="47">
        <f t="shared" si="88"/>
        <v>0</v>
      </c>
      <c r="BF29" s="47">
        <f t="shared" si="89"/>
        <v>0</v>
      </c>
      <c r="BG29" s="47">
        <f t="shared" si="90"/>
        <v>0</v>
      </c>
      <c r="BH29" s="47">
        <f t="shared" si="95"/>
        <v>0</v>
      </c>
      <c r="BI29" s="47">
        <f t="shared" si="91"/>
        <v>0</v>
      </c>
      <c r="BJ29" s="47">
        <f t="shared" si="92"/>
        <v>0</v>
      </c>
      <c r="BK29" s="47">
        <f t="shared" si="93"/>
        <v>0</v>
      </c>
      <c r="BL29" s="47">
        <f t="shared" si="94"/>
        <v>0</v>
      </c>
      <c r="BM29" s="47">
        <f t="shared" si="96"/>
        <v>0</v>
      </c>
      <c r="BN29" s="92">
        <f t="shared" si="17"/>
        <v>0</v>
      </c>
      <c r="BO29" s="82">
        <f>IF($B29=BQ$20,'Construction Costs_2022'!$K$84+'Construction Costs_2022'!$K$7,0)</f>
        <v>0</v>
      </c>
      <c r="BP29" s="38">
        <f t="shared" si="18"/>
        <v>0</v>
      </c>
      <c r="BQ29" s="38"/>
      <c r="BR29" s="45"/>
      <c r="BS29" s="46">
        <f t="shared" si="97"/>
        <v>0</v>
      </c>
      <c r="BT29" s="41">
        <f t="shared" si="20"/>
        <v>0</v>
      </c>
      <c r="BU29" s="41">
        <f t="shared" si="20"/>
        <v>0</v>
      </c>
      <c r="BV29" s="47">
        <f t="shared" si="20"/>
        <v>0</v>
      </c>
      <c r="BW29" s="47">
        <f t="shared" si="20"/>
        <v>0</v>
      </c>
      <c r="BX29" s="92">
        <f t="shared" si="52"/>
        <v>0</v>
      </c>
      <c r="BY29" s="82">
        <f>IF($B29=CA$20,'Construction Costs_2022'!$K$104+'Construction Costs_2022'!$K$7,0)</f>
        <v>0</v>
      </c>
      <c r="BZ29" s="38">
        <f t="shared" si="21"/>
        <v>0</v>
      </c>
      <c r="CA29" s="38"/>
      <c r="CB29" s="45"/>
      <c r="CC29" s="46">
        <f t="shared" si="98"/>
        <v>0</v>
      </c>
      <c r="CD29" s="41">
        <f t="shared" si="23"/>
        <v>0</v>
      </c>
      <c r="CE29" s="41">
        <f t="shared" si="23"/>
        <v>0</v>
      </c>
      <c r="CF29" s="47">
        <f t="shared" si="23"/>
        <v>0</v>
      </c>
      <c r="CG29" s="47">
        <f t="shared" si="23"/>
        <v>0</v>
      </c>
      <c r="CH29" s="92">
        <f t="shared" si="53"/>
        <v>0</v>
      </c>
      <c r="CI29" s="82">
        <f>IF($B29=DA$20,'OBC Cost _Van Oord 2022'!$E$30,0)</f>
        <v>0</v>
      </c>
      <c r="CJ29" s="38">
        <f t="shared" si="54"/>
        <v>0</v>
      </c>
      <c r="CK29" s="38"/>
      <c r="CL29" s="38"/>
      <c r="CM29" s="38"/>
      <c r="CN29" s="38"/>
      <c r="CO29" s="38"/>
      <c r="CP29" s="38"/>
      <c r="CQ29" s="370"/>
      <c r="CR29" s="38"/>
      <c r="CS29" s="38"/>
      <c r="CT29" s="38"/>
      <c r="CU29" s="38"/>
      <c r="CV29" s="38"/>
      <c r="CW29" s="38"/>
      <c r="CX29" s="38"/>
      <c r="CY29" s="38"/>
      <c r="CZ29" s="38"/>
      <c r="DA29" s="38"/>
      <c r="DB29" s="45">
        <f t="shared" ref="DB29:DB92" si="103">0.3*CJ29</f>
        <v>0</v>
      </c>
      <c r="DC29" s="45"/>
      <c r="DD29" s="46">
        <f t="shared" si="25"/>
        <v>0</v>
      </c>
      <c r="DE29" s="41">
        <f t="shared" si="99"/>
        <v>0</v>
      </c>
      <c r="DF29" s="41">
        <f t="shared" si="27"/>
        <v>0</v>
      </c>
      <c r="DG29" s="47"/>
      <c r="DH29" s="47"/>
      <c r="DI29" s="47"/>
      <c r="DJ29" s="47"/>
      <c r="DK29" s="47">
        <f t="shared" si="55"/>
        <v>0</v>
      </c>
      <c r="DL29" s="47">
        <f t="shared" si="56"/>
        <v>0</v>
      </c>
      <c r="DM29" s="47">
        <f t="shared" si="57"/>
        <v>0</v>
      </c>
      <c r="DN29" s="47">
        <f t="shared" si="58"/>
        <v>0</v>
      </c>
      <c r="DO29" s="47">
        <f t="shared" si="59"/>
        <v>0</v>
      </c>
      <c r="DP29" s="47">
        <f t="shared" si="60"/>
        <v>0</v>
      </c>
      <c r="DQ29" s="47">
        <f t="shared" si="61"/>
        <v>0</v>
      </c>
      <c r="DR29" s="47">
        <f t="shared" si="62"/>
        <v>0</v>
      </c>
      <c r="DS29" s="47">
        <f t="shared" si="100"/>
        <v>0</v>
      </c>
      <c r="DT29" s="47">
        <f t="shared" si="64"/>
        <v>0</v>
      </c>
      <c r="DU29" s="47">
        <f t="shared" si="65"/>
        <v>0</v>
      </c>
      <c r="DV29" s="47">
        <f t="shared" si="66"/>
        <v>0</v>
      </c>
      <c r="DW29" s="47">
        <f t="shared" si="67"/>
        <v>0</v>
      </c>
      <c r="DX29" s="47">
        <f t="shared" si="101"/>
        <v>0</v>
      </c>
      <c r="DY29" s="92">
        <f t="shared" si="29"/>
        <v>0</v>
      </c>
    </row>
    <row r="30" spans="1:129" s="3" customFormat="1" ht="12.75" x14ac:dyDescent="0.2">
      <c r="B30" s="12">
        <f t="shared" si="30"/>
        <v>5</v>
      </c>
      <c r="C30" s="13">
        <f t="shared" si="31"/>
        <v>0.84197316685852408</v>
      </c>
      <c r="D30" s="82">
        <f>IF($B30=F$20,'Construction Costs_2022'!$K$22+'Construction Costs_2022'!$K$7,0)</f>
        <v>0</v>
      </c>
      <c r="E30" s="38">
        <f t="shared" si="32"/>
        <v>28800</v>
      </c>
      <c r="F30" s="38"/>
      <c r="G30" s="45"/>
      <c r="H30" s="46">
        <f t="shared" si="10"/>
        <v>28800</v>
      </c>
      <c r="I30" s="41">
        <f t="shared" si="11"/>
        <v>0</v>
      </c>
      <c r="J30" s="41">
        <f t="shared" si="11"/>
        <v>24248.827205525493</v>
      </c>
      <c r="K30" s="47">
        <f t="shared" si="11"/>
        <v>0</v>
      </c>
      <c r="L30" s="47">
        <f t="shared" si="11"/>
        <v>0</v>
      </c>
      <c r="M30" s="92">
        <f t="shared" si="33"/>
        <v>24248.827205525493</v>
      </c>
      <c r="N30" s="91">
        <f>IF($B30=P$20,'Construction Costs_2022'!$K$43+'Construction Costs_2022'!$K$7,0)</f>
        <v>0</v>
      </c>
      <c r="O30" s="38">
        <f t="shared" si="34"/>
        <v>43200</v>
      </c>
      <c r="P30" s="38"/>
      <c r="Q30" s="45"/>
      <c r="R30" s="46">
        <f t="shared" si="35"/>
        <v>43200</v>
      </c>
      <c r="S30" s="41">
        <f t="shared" si="12"/>
        <v>0</v>
      </c>
      <c r="T30" s="41">
        <f>O30*$C30</f>
        <v>36373.240808288239</v>
      </c>
      <c r="U30" s="47">
        <f t="shared" si="12"/>
        <v>0</v>
      </c>
      <c r="V30" s="47">
        <f t="shared" si="12"/>
        <v>0</v>
      </c>
      <c r="W30" s="92">
        <f t="shared" si="36"/>
        <v>36373.240808288239</v>
      </c>
      <c r="X30" s="82">
        <f>IF($B30=AP$20,'OBC Cost _Van Oord 2022'!$E$30,0)</f>
        <v>0</v>
      </c>
      <c r="Y30" s="38">
        <f t="shared" si="37"/>
        <v>0</v>
      </c>
      <c r="Z30" s="38"/>
      <c r="AA30" s="38"/>
      <c r="AB30" s="38"/>
      <c r="AC30" s="38"/>
      <c r="AD30" s="38"/>
      <c r="AE30" s="38"/>
      <c r="AF30" s="370"/>
      <c r="AG30" s="38"/>
      <c r="AH30" s="38"/>
      <c r="AI30" s="38"/>
      <c r="AJ30" s="38"/>
      <c r="AK30" s="38"/>
      <c r="AL30" s="38"/>
      <c r="AM30" s="38"/>
      <c r="AN30" s="38"/>
      <c r="AO30" s="38"/>
      <c r="AP30" s="38"/>
      <c r="AQ30" s="45">
        <f t="shared" si="102"/>
        <v>0</v>
      </c>
      <c r="AR30" s="45"/>
      <c r="AS30" s="46">
        <f t="shared" si="13"/>
        <v>0</v>
      </c>
      <c r="AT30" s="41">
        <f t="shared" si="14"/>
        <v>0</v>
      </c>
      <c r="AU30" s="41">
        <f t="shared" si="15"/>
        <v>0</v>
      </c>
      <c r="AV30" s="47"/>
      <c r="AW30" s="47"/>
      <c r="AX30" s="47"/>
      <c r="AY30" s="47"/>
      <c r="AZ30" s="47">
        <f t="shared" si="83"/>
        <v>0</v>
      </c>
      <c r="BA30" s="47">
        <f t="shared" si="84"/>
        <v>0</v>
      </c>
      <c r="BB30" s="47">
        <f t="shared" si="85"/>
        <v>0</v>
      </c>
      <c r="BC30" s="47">
        <f t="shared" si="86"/>
        <v>0</v>
      </c>
      <c r="BD30" s="47">
        <f t="shared" si="87"/>
        <v>0</v>
      </c>
      <c r="BE30" s="47">
        <f t="shared" si="88"/>
        <v>0</v>
      </c>
      <c r="BF30" s="47">
        <f t="shared" si="89"/>
        <v>0</v>
      </c>
      <c r="BG30" s="47">
        <f t="shared" si="90"/>
        <v>0</v>
      </c>
      <c r="BH30" s="47">
        <f t="shared" si="95"/>
        <v>0</v>
      </c>
      <c r="BI30" s="47">
        <f t="shared" si="91"/>
        <v>0</v>
      </c>
      <c r="BJ30" s="47">
        <f t="shared" si="92"/>
        <v>0</v>
      </c>
      <c r="BK30" s="47">
        <f t="shared" si="93"/>
        <v>0</v>
      </c>
      <c r="BL30" s="47">
        <f t="shared" si="94"/>
        <v>0</v>
      </c>
      <c r="BM30" s="47">
        <f t="shared" si="96"/>
        <v>0</v>
      </c>
      <c r="BN30" s="92">
        <f t="shared" si="17"/>
        <v>0</v>
      </c>
      <c r="BO30" s="82">
        <f>IF($B30=BQ$20,'Construction Costs_2022'!$K$84+'Construction Costs_2022'!$K$7,0)</f>
        <v>0</v>
      </c>
      <c r="BP30" s="38">
        <f t="shared" si="18"/>
        <v>0</v>
      </c>
      <c r="BQ30" s="38"/>
      <c r="BR30" s="45"/>
      <c r="BS30" s="46">
        <f t="shared" si="97"/>
        <v>0</v>
      </c>
      <c r="BT30" s="41">
        <f t="shared" si="20"/>
        <v>0</v>
      </c>
      <c r="BU30" s="41">
        <f t="shared" si="20"/>
        <v>0</v>
      </c>
      <c r="BV30" s="47">
        <f t="shared" si="20"/>
        <v>0</v>
      </c>
      <c r="BW30" s="47">
        <f t="shared" si="20"/>
        <v>0</v>
      </c>
      <c r="BX30" s="92">
        <f t="shared" si="52"/>
        <v>0</v>
      </c>
      <c r="BY30" s="82">
        <f>IF($B30=CA$20,'Construction Costs_2022'!$K$104+'Construction Costs_2022'!$K$7,0)</f>
        <v>0</v>
      </c>
      <c r="BZ30" s="38">
        <f t="shared" si="21"/>
        <v>0</v>
      </c>
      <c r="CA30" s="38"/>
      <c r="CB30" s="45"/>
      <c r="CC30" s="46">
        <f t="shared" si="98"/>
        <v>0</v>
      </c>
      <c r="CD30" s="41">
        <f t="shared" si="23"/>
        <v>0</v>
      </c>
      <c r="CE30" s="41">
        <f t="shared" si="23"/>
        <v>0</v>
      </c>
      <c r="CF30" s="47">
        <f t="shared" si="23"/>
        <v>0</v>
      </c>
      <c r="CG30" s="47">
        <f t="shared" si="23"/>
        <v>0</v>
      </c>
      <c r="CH30" s="92">
        <f t="shared" si="53"/>
        <v>0</v>
      </c>
      <c r="CI30" s="82">
        <f>IF($B30=DA$20,'OBC Cost _Van Oord 2022'!$E$30,0)</f>
        <v>0</v>
      </c>
      <c r="CJ30" s="38">
        <f t="shared" si="54"/>
        <v>0</v>
      </c>
      <c r="CK30" s="38"/>
      <c r="CL30" s="38"/>
      <c r="CM30" s="38"/>
      <c r="CN30" s="38"/>
      <c r="CO30" s="38"/>
      <c r="CP30" s="38"/>
      <c r="CQ30" s="370"/>
      <c r="CR30" s="38"/>
      <c r="CS30" s="38"/>
      <c r="CT30" s="38"/>
      <c r="CU30" s="38"/>
      <c r="CV30" s="38"/>
      <c r="CW30" s="38"/>
      <c r="CX30" s="38"/>
      <c r="CY30" s="38"/>
      <c r="CZ30" s="38"/>
      <c r="DA30" s="38"/>
      <c r="DB30" s="45">
        <f t="shared" si="103"/>
        <v>0</v>
      </c>
      <c r="DC30" s="45"/>
      <c r="DD30" s="46">
        <f t="shared" si="25"/>
        <v>0</v>
      </c>
      <c r="DE30" s="41">
        <f t="shared" si="99"/>
        <v>0</v>
      </c>
      <c r="DF30" s="41">
        <f t="shared" si="27"/>
        <v>0</v>
      </c>
      <c r="DG30" s="47"/>
      <c r="DH30" s="47"/>
      <c r="DI30" s="47"/>
      <c r="DJ30" s="47"/>
      <c r="DK30" s="47">
        <f t="shared" si="55"/>
        <v>0</v>
      </c>
      <c r="DL30" s="47">
        <f t="shared" si="56"/>
        <v>0</v>
      </c>
      <c r="DM30" s="47">
        <f t="shared" si="57"/>
        <v>0</v>
      </c>
      <c r="DN30" s="47">
        <f t="shared" si="58"/>
        <v>0</v>
      </c>
      <c r="DO30" s="47">
        <f t="shared" si="59"/>
        <v>0</v>
      </c>
      <c r="DP30" s="47">
        <f t="shared" si="60"/>
        <v>0</v>
      </c>
      <c r="DQ30" s="47">
        <f t="shared" si="61"/>
        <v>0</v>
      </c>
      <c r="DR30" s="47">
        <f t="shared" si="62"/>
        <v>0</v>
      </c>
      <c r="DS30" s="47">
        <f t="shared" si="100"/>
        <v>0</v>
      </c>
      <c r="DT30" s="47">
        <f t="shared" si="64"/>
        <v>0</v>
      </c>
      <c r="DU30" s="47">
        <f t="shared" si="65"/>
        <v>0</v>
      </c>
      <c r="DV30" s="47">
        <f t="shared" si="66"/>
        <v>0</v>
      </c>
      <c r="DW30" s="47">
        <f t="shared" si="67"/>
        <v>0</v>
      </c>
      <c r="DX30" s="47">
        <f t="shared" si="101"/>
        <v>0</v>
      </c>
      <c r="DY30" s="92">
        <f t="shared" si="29"/>
        <v>0</v>
      </c>
    </row>
    <row r="31" spans="1:129" s="3" customFormat="1" ht="12.75" x14ac:dyDescent="0.2">
      <c r="B31" s="12">
        <f t="shared" si="30"/>
        <v>6</v>
      </c>
      <c r="C31" s="13">
        <f t="shared" si="31"/>
        <v>0.81350064430775282</v>
      </c>
      <c r="D31" s="82">
        <f>IF($B31=F$20,'Construction Costs_2022'!$K$22+'Construction Costs_2022'!$K$7,0)</f>
        <v>0</v>
      </c>
      <c r="E31" s="38">
        <f t="shared" si="32"/>
        <v>28800</v>
      </c>
      <c r="F31" s="38"/>
      <c r="G31" s="45"/>
      <c r="H31" s="46">
        <f t="shared" si="10"/>
        <v>28800</v>
      </c>
      <c r="I31" s="41">
        <f t="shared" si="11"/>
        <v>0</v>
      </c>
      <c r="J31" s="41">
        <f t="shared" si="11"/>
        <v>23428.818556063281</v>
      </c>
      <c r="K31" s="47">
        <f t="shared" si="11"/>
        <v>0</v>
      </c>
      <c r="L31" s="47">
        <f t="shared" si="11"/>
        <v>0</v>
      </c>
      <c r="M31" s="92">
        <f t="shared" si="33"/>
        <v>23428.818556063281</v>
      </c>
      <c r="N31" s="91">
        <f>IF($B31=P$20,'Construction Costs_2022'!$K$43+'Construction Costs_2022'!$K$7,0)</f>
        <v>0</v>
      </c>
      <c r="O31" s="38">
        <f t="shared" si="34"/>
        <v>43200</v>
      </c>
      <c r="P31" s="38"/>
      <c r="Q31" s="45"/>
      <c r="R31" s="46">
        <f t="shared" si="35"/>
        <v>43200</v>
      </c>
      <c r="S31" s="41">
        <f t="shared" si="12"/>
        <v>0</v>
      </c>
      <c r="T31" s="41">
        <f t="shared" si="12"/>
        <v>35143.22783409492</v>
      </c>
      <c r="U31" s="47">
        <f t="shared" si="12"/>
        <v>0</v>
      </c>
      <c r="V31" s="47">
        <f t="shared" si="12"/>
        <v>0</v>
      </c>
      <c r="W31" s="92">
        <f t="shared" si="36"/>
        <v>35143.22783409492</v>
      </c>
      <c r="X31" s="82">
        <f>IF($B31=AP$20,'OBC Cost _Van Oord 2022'!$E$30,0)</f>
        <v>0</v>
      </c>
      <c r="Y31" s="38">
        <f t="shared" si="37"/>
        <v>0</v>
      </c>
      <c r="Z31" s="38"/>
      <c r="AA31" s="38"/>
      <c r="AB31" s="38"/>
      <c r="AC31" s="38"/>
      <c r="AD31" s="38"/>
      <c r="AE31" s="38"/>
      <c r="AF31" s="370"/>
      <c r="AG31" s="38"/>
      <c r="AH31" s="38"/>
      <c r="AI31" s="38"/>
      <c r="AJ31" s="38"/>
      <c r="AK31" s="38"/>
      <c r="AL31" s="38"/>
      <c r="AM31" s="38"/>
      <c r="AN31" s="38"/>
      <c r="AO31" s="38"/>
      <c r="AP31" s="38"/>
      <c r="AQ31" s="45">
        <f t="shared" si="102"/>
        <v>0</v>
      </c>
      <c r="AR31" s="45"/>
      <c r="AS31" s="46">
        <f t="shared" si="13"/>
        <v>0</v>
      </c>
      <c r="AT31" s="41">
        <f t="shared" si="14"/>
        <v>0</v>
      </c>
      <c r="AU31" s="41">
        <f t="shared" si="15"/>
        <v>0</v>
      </c>
      <c r="AV31" s="47"/>
      <c r="AW31" s="47"/>
      <c r="AX31" s="47"/>
      <c r="AY31" s="47"/>
      <c r="AZ31" s="47">
        <f t="shared" si="83"/>
        <v>0</v>
      </c>
      <c r="BA31" s="47">
        <f t="shared" si="84"/>
        <v>0</v>
      </c>
      <c r="BB31" s="47">
        <f t="shared" si="85"/>
        <v>0</v>
      </c>
      <c r="BC31" s="47">
        <f t="shared" si="86"/>
        <v>0</v>
      </c>
      <c r="BD31" s="47">
        <f t="shared" si="87"/>
        <v>0</v>
      </c>
      <c r="BE31" s="47">
        <f t="shared" si="88"/>
        <v>0</v>
      </c>
      <c r="BF31" s="47">
        <f t="shared" si="89"/>
        <v>0</v>
      </c>
      <c r="BG31" s="47">
        <f t="shared" si="90"/>
        <v>0</v>
      </c>
      <c r="BH31" s="47">
        <f t="shared" si="95"/>
        <v>0</v>
      </c>
      <c r="BI31" s="47">
        <f t="shared" si="91"/>
        <v>0</v>
      </c>
      <c r="BJ31" s="47">
        <f t="shared" si="92"/>
        <v>0</v>
      </c>
      <c r="BK31" s="47">
        <f t="shared" si="93"/>
        <v>0</v>
      </c>
      <c r="BL31" s="47">
        <f t="shared" si="94"/>
        <v>0</v>
      </c>
      <c r="BM31" s="47">
        <f t="shared" si="96"/>
        <v>0</v>
      </c>
      <c r="BN31" s="92">
        <f t="shared" si="17"/>
        <v>0</v>
      </c>
      <c r="BO31" s="82">
        <f>IF($B31=BQ$20,'Construction Costs_2022'!$K$84+'Construction Costs_2022'!$K$7,0)</f>
        <v>0</v>
      </c>
      <c r="BP31" s="38">
        <f t="shared" si="18"/>
        <v>0</v>
      </c>
      <c r="BQ31" s="38"/>
      <c r="BR31" s="45"/>
      <c r="BS31" s="46">
        <f t="shared" si="97"/>
        <v>0</v>
      </c>
      <c r="BT31" s="41">
        <f t="shared" si="20"/>
        <v>0</v>
      </c>
      <c r="BU31" s="41">
        <f t="shared" si="20"/>
        <v>0</v>
      </c>
      <c r="BV31" s="47">
        <f t="shared" si="20"/>
        <v>0</v>
      </c>
      <c r="BW31" s="47">
        <f t="shared" si="20"/>
        <v>0</v>
      </c>
      <c r="BX31" s="92">
        <f t="shared" si="52"/>
        <v>0</v>
      </c>
      <c r="BY31" s="82">
        <f>IF($B31=CA$20,'Construction Costs_2022'!$K$104+'Construction Costs_2022'!$K$7,0)</f>
        <v>0</v>
      </c>
      <c r="BZ31" s="38">
        <f t="shared" si="21"/>
        <v>0</v>
      </c>
      <c r="CA31" s="38"/>
      <c r="CB31" s="45"/>
      <c r="CC31" s="46">
        <f t="shared" si="98"/>
        <v>0</v>
      </c>
      <c r="CD31" s="41">
        <f t="shared" si="23"/>
        <v>0</v>
      </c>
      <c r="CE31" s="41">
        <f t="shared" si="23"/>
        <v>0</v>
      </c>
      <c r="CF31" s="47">
        <f t="shared" si="23"/>
        <v>0</v>
      </c>
      <c r="CG31" s="47">
        <f t="shared" si="23"/>
        <v>0</v>
      </c>
      <c r="CH31" s="92">
        <f t="shared" si="53"/>
        <v>0</v>
      </c>
      <c r="CI31" s="82">
        <f>IF($B31=DA$20,'OBC Cost _Van Oord 2022'!$E$30,0)</f>
        <v>0</v>
      </c>
      <c r="CJ31" s="38">
        <f t="shared" si="54"/>
        <v>0</v>
      </c>
      <c r="CK31" s="38"/>
      <c r="CL31" s="38"/>
      <c r="CM31" s="38"/>
      <c r="CN31" s="38"/>
      <c r="CO31" s="38"/>
      <c r="CP31" s="38"/>
      <c r="CQ31" s="370"/>
      <c r="CR31" s="38"/>
      <c r="CS31" s="38"/>
      <c r="CT31" s="38"/>
      <c r="CU31" s="38"/>
      <c r="CV31" s="38"/>
      <c r="CW31" s="38"/>
      <c r="CX31" s="38"/>
      <c r="CY31" s="38"/>
      <c r="CZ31" s="38"/>
      <c r="DA31" s="38"/>
      <c r="DB31" s="45">
        <f t="shared" si="103"/>
        <v>0</v>
      </c>
      <c r="DC31" s="45"/>
      <c r="DD31" s="46">
        <f t="shared" si="25"/>
        <v>0</v>
      </c>
      <c r="DE31" s="41">
        <f t="shared" si="99"/>
        <v>0</v>
      </c>
      <c r="DF31" s="41">
        <f t="shared" si="27"/>
        <v>0</v>
      </c>
      <c r="DG31" s="47"/>
      <c r="DH31" s="47"/>
      <c r="DI31" s="47"/>
      <c r="DJ31" s="47"/>
      <c r="DK31" s="47">
        <f t="shared" si="55"/>
        <v>0</v>
      </c>
      <c r="DL31" s="47">
        <f t="shared" si="56"/>
        <v>0</v>
      </c>
      <c r="DM31" s="47">
        <f t="shared" si="57"/>
        <v>0</v>
      </c>
      <c r="DN31" s="47">
        <f t="shared" si="58"/>
        <v>0</v>
      </c>
      <c r="DO31" s="47">
        <f t="shared" si="59"/>
        <v>0</v>
      </c>
      <c r="DP31" s="47">
        <f t="shared" si="60"/>
        <v>0</v>
      </c>
      <c r="DQ31" s="47">
        <f t="shared" si="61"/>
        <v>0</v>
      </c>
      <c r="DR31" s="47">
        <f t="shared" si="62"/>
        <v>0</v>
      </c>
      <c r="DS31" s="47">
        <f t="shared" si="100"/>
        <v>0</v>
      </c>
      <c r="DT31" s="47">
        <f t="shared" si="64"/>
        <v>0</v>
      </c>
      <c r="DU31" s="47">
        <f t="shared" si="65"/>
        <v>0</v>
      </c>
      <c r="DV31" s="47">
        <f t="shared" si="66"/>
        <v>0</v>
      </c>
      <c r="DW31" s="47">
        <f t="shared" si="67"/>
        <v>0</v>
      </c>
      <c r="DX31" s="47">
        <f t="shared" si="101"/>
        <v>0</v>
      </c>
      <c r="DY31" s="92">
        <f t="shared" si="29"/>
        <v>0</v>
      </c>
    </row>
    <row r="32" spans="1:129" s="3" customFormat="1" ht="12.75" x14ac:dyDescent="0.2">
      <c r="B32" s="12">
        <f t="shared" si="30"/>
        <v>7</v>
      </c>
      <c r="C32" s="13">
        <f t="shared" si="31"/>
        <v>0.78599096068381924</v>
      </c>
      <c r="D32" s="82">
        <f>IF($B32=F$20,'Construction Costs_2022'!$K$22+'Construction Costs_2022'!$K$7,0)</f>
        <v>0</v>
      </c>
      <c r="E32" s="38">
        <f t="shared" si="32"/>
        <v>28800</v>
      </c>
      <c r="F32" s="38"/>
      <c r="G32" s="45"/>
      <c r="H32" s="46">
        <f t="shared" si="10"/>
        <v>28800</v>
      </c>
      <c r="I32" s="41">
        <f t="shared" si="11"/>
        <v>0</v>
      </c>
      <c r="J32" s="41">
        <f t="shared" si="11"/>
        <v>22636.539667693993</v>
      </c>
      <c r="K32" s="47">
        <f t="shared" si="11"/>
        <v>0</v>
      </c>
      <c r="L32" s="47">
        <f t="shared" si="11"/>
        <v>0</v>
      </c>
      <c r="M32" s="92">
        <f t="shared" si="33"/>
        <v>22636.539667693993</v>
      </c>
      <c r="N32" s="91">
        <f>IF($B32=P$20,'Construction Costs_2022'!$K$43+'Construction Costs_2022'!$K$7,0)</f>
        <v>0</v>
      </c>
      <c r="O32" s="38">
        <f t="shared" si="34"/>
        <v>43200</v>
      </c>
      <c r="P32" s="38"/>
      <c r="Q32" s="45"/>
      <c r="R32" s="46">
        <f t="shared" si="35"/>
        <v>43200</v>
      </c>
      <c r="S32" s="41">
        <f t="shared" si="12"/>
        <v>0</v>
      </c>
      <c r="T32" s="41">
        <f t="shared" si="12"/>
        <v>33954.809501540993</v>
      </c>
      <c r="U32" s="47">
        <f t="shared" si="12"/>
        <v>0</v>
      </c>
      <c r="V32" s="47">
        <f t="shared" si="12"/>
        <v>0</v>
      </c>
      <c r="W32" s="92">
        <f t="shared" si="36"/>
        <v>33954.809501540993</v>
      </c>
      <c r="X32" s="82">
        <f>IF($B32=AP$20,'OBC Cost _Van Oord 2022'!$E$30,0)</f>
        <v>0</v>
      </c>
      <c r="Y32" s="38">
        <f t="shared" si="37"/>
        <v>86400</v>
      </c>
      <c r="Z32" s="38"/>
      <c r="AA32" s="38"/>
      <c r="AB32" s="38"/>
      <c r="AC32" s="38"/>
      <c r="AD32" s="38"/>
      <c r="AE32" s="38"/>
      <c r="AF32" s="370"/>
      <c r="AG32" s="38"/>
      <c r="AH32" s="38"/>
      <c r="AI32" s="38"/>
      <c r="AJ32" s="38"/>
      <c r="AK32" s="38"/>
      <c r="AL32" s="38"/>
      <c r="AM32" s="38"/>
      <c r="AN32" s="38"/>
      <c r="AO32" s="38"/>
      <c r="AP32" s="38"/>
      <c r="AQ32" s="45">
        <f t="shared" si="102"/>
        <v>22464</v>
      </c>
      <c r="AR32" s="45"/>
      <c r="AS32" s="46">
        <f t="shared" si="13"/>
        <v>108864</v>
      </c>
      <c r="AT32" s="41">
        <f t="shared" si="14"/>
        <v>0</v>
      </c>
      <c r="AU32" s="41">
        <f t="shared" si="15"/>
        <v>67909.619003081985</v>
      </c>
      <c r="AV32" s="47"/>
      <c r="AW32" s="47"/>
      <c r="AX32" s="47"/>
      <c r="AY32" s="47"/>
      <c r="AZ32" s="47">
        <f t="shared" si="83"/>
        <v>0</v>
      </c>
      <c r="BA32" s="47">
        <f t="shared" si="84"/>
        <v>0</v>
      </c>
      <c r="BB32" s="47">
        <f t="shared" si="85"/>
        <v>0</v>
      </c>
      <c r="BC32" s="47">
        <f t="shared" si="86"/>
        <v>0</v>
      </c>
      <c r="BD32" s="47">
        <f t="shared" si="87"/>
        <v>0</v>
      </c>
      <c r="BE32" s="47">
        <f t="shared" si="88"/>
        <v>0</v>
      </c>
      <c r="BF32" s="47">
        <f t="shared" si="89"/>
        <v>0</v>
      </c>
      <c r="BG32" s="47">
        <f t="shared" si="90"/>
        <v>0</v>
      </c>
      <c r="BH32" s="47">
        <f t="shared" si="95"/>
        <v>0</v>
      </c>
      <c r="BI32" s="47">
        <f t="shared" si="91"/>
        <v>0</v>
      </c>
      <c r="BJ32" s="47">
        <f t="shared" si="92"/>
        <v>0</v>
      </c>
      <c r="BK32" s="47">
        <f t="shared" si="93"/>
        <v>0</v>
      </c>
      <c r="BL32" s="47">
        <f t="shared" si="94"/>
        <v>0</v>
      </c>
      <c r="BM32" s="47">
        <f t="shared" si="96"/>
        <v>17656.500940801314</v>
      </c>
      <c r="BN32" s="92">
        <f t="shared" si="17"/>
        <v>85566.119943883299</v>
      </c>
      <c r="BO32" s="82">
        <f>IF($B32=BQ$20,'Construction Costs_2022'!$K$84+'Construction Costs_2022'!$K$7,0)</f>
        <v>0</v>
      </c>
      <c r="BP32" s="38">
        <f t="shared" si="18"/>
        <v>100800</v>
      </c>
      <c r="BQ32" s="38"/>
      <c r="BR32" s="45"/>
      <c r="BS32" s="46">
        <f t="shared" si="97"/>
        <v>100800</v>
      </c>
      <c r="BT32" s="41">
        <f t="shared" si="20"/>
        <v>0</v>
      </c>
      <c r="BU32" s="41">
        <f t="shared" si="20"/>
        <v>79227.888836928978</v>
      </c>
      <c r="BV32" s="47">
        <f t="shared" si="20"/>
        <v>0</v>
      </c>
      <c r="BW32" s="47">
        <f t="shared" si="20"/>
        <v>0</v>
      </c>
      <c r="BX32" s="92">
        <f t="shared" si="52"/>
        <v>79227.888836928978</v>
      </c>
      <c r="BY32" s="82">
        <f>IF($B32=CA$20,'Construction Costs_2022'!$K$104+'Construction Costs_2022'!$K$7,0)</f>
        <v>0</v>
      </c>
      <c r="BZ32" s="38">
        <f t="shared" si="21"/>
        <v>57600</v>
      </c>
      <c r="CA32" s="38"/>
      <c r="CB32" s="45"/>
      <c r="CC32" s="46">
        <f t="shared" si="98"/>
        <v>57600</v>
      </c>
      <c r="CD32" s="41">
        <f t="shared" si="23"/>
        <v>0</v>
      </c>
      <c r="CE32" s="41">
        <f t="shared" si="23"/>
        <v>45273.079335387985</v>
      </c>
      <c r="CF32" s="47">
        <f t="shared" si="23"/>
        <v>0</v>
      </c>
      <c r="CG32" s="47">
        <f t="shared" si="23"/>
        <v>0</v>
      </c>
      <c r="CH32" s="92">
        <f t="shared" si="53"/>
        <v>45273.079335387985</v>
      </c>
      <c r="CI32" s="82">
        <f>IF($B32=DA$20,'OBC Cost _Van Oord 2022'!$E$30,0)</f>
        <v>0</v>
      </c>
      <c r="CJ32" s="38">
        <f t="shared" si="54"/>
        <v>86400</v>
      </c>
      <c r="CK32" s="38"/>
      <c r="CL32" s="38"/>
      <c r="CM32" s="38"/>
      <c r="CN32" s="38"/>
      <c r="CO32" s="38"/>
      <c r="CP32" s="38"/>
      <c r="CQ32" s="370"/>
      <c r="CR32" s="38"/>
      <c r="CS32" s="38"/>
      <c r="CT32" s="38"/>
      <c r="CU32" s="38"/>
      <c r="CV32" s="38"/>
      <c r="CW32" s="38"/>
      <c r="CX32" s="38"/>
      <c r="CY32" s="38"/>
      <c r="CZ32" s="38"/>
      <c r="DA32" s="38"/>
      <c r="DB32" s="45">
        <f t="shared" si="103"/>
        <v>25920</v>
      </c>
      <c r="DC32" s="45"/>
      <c r="DD32" s="46">
        <f t="shared" si="25"/>
        <v>112320</v>
      </c>
      <c r="DE32" s="41">
        <f t="shared" si="99"/>
        <v>0</v>
      </c>
      <c r="DF32" s="41">
        <f t="shared" si="27"/>
        <v>67909.619003081985</v>
      </c>
      <c r="DG32" s="47"/>
      <c r="DH32" s="47"/>
      <c r="DI32" s="47"/>
      <c r="DJ32" s="47"/>
      <c r="DK32" s="47">
        <f t="shared" si="55"/>
        <v>0</v>
      </c>
      <c r="DL32" s="47">
        <f t="shared" si="56"/>
        <v>0</v>
      </c>
      <c r="DM32" s="47">
        <f t="shared" si="57"/>
        <v>0</v>
      </c>
      <c r="DN32" s="47">
        <f t="shared" si="58"/>
        <v>0</v>
      </c>
      <c r="DO32" s="47">
        <f t="shared" si="59"/>
        <v>0</v>
      </c>
      <c r="DP32" s="47">
        <f t="shared" si="60"/>
        <v>0</v>
      </c>
      <c r="DQ32" s="47">
        <f t="shared" si="61"/>
        <v>0</v>
      </c>
      <c r="DR32" s="47">
        <f t="shared" si="62"/>
        <v>0</v>
      </c>
      <c r="DS32" s="47">
        <f t="shared" si="100"/>
        <v>0</v>
      </c>
      <c r="DT32" s="47">
        <f t="shared" si="64"/>
        <v>0</v>
      </c>
      <c r="DU32" s="47">
        <f t="shared" si="65"/>
        <v>0</v>
      </c>
      <c r="DV32" s="47">
        <f t="shared" si="66"/>
        <v>0</v>
      </c>
      <c r="DW32" s="47">
        <f t="shared" si="67"/>
        <v>0</v>
      </c>
      <c r="DX32" s="47">
        <f t="shared" si="101"/>
        <v>20372.885700924595</v>
      </c>
      <c r="DY32" s="92">
        <f t="shared" si="29"/>
        <v>88282.504704006584</v>
      </c>
    </row>
    <row r="33" spans="2:129" s="3" customFormat="1" ht="12.75" x14ac:dyDescent="0.2">
      <c r="B33" s="12">
        <f t="shared" si="30"/>
        <v>8</v>
      </c>
      <c r="C33" s="13">
        <f t="shared" si="31"/>
        <v>0.75941155621625056</v>
      </c>
      <c r="D33" s="82">
        <f>IF($B33=F$20,'Construction Costs_2022'!$K$22+'Construction Costs_2022'!$K$7,0)</f>
        <v>0</v>
      </c>
      <c r="E33" s="38">
        <f t="shared" si="32"/>
        <v>28800</v>
      </c>
      <c r="F33" s="38"/>
      <c r="G33" s="45"/>
      <c r="H33" s="46">
        <f t="shared" si="10"/>
        <v>28800</v>
      </c>
      <c r="I33" s="41">
        <f t="shared" si="11"/>
        <v>0</v>
      </c>
      <c r="J33" s="41">
        <f t="shared" si="11"/>
        <v>21871.052819028017</v>
      </c>
      <c r="K33" s="47">
        <f t="shared" si="11"/>
        <v>0</v>
      </c>
      <c r="L33" s="47">
        <f t="shared" si="11"/>
        <v>0</v>
      </c>
      <c r="M33" s="92">
        <f t="shared" si="33"/>
        <v>21871.052819028017</v>
      </c>
      <c r="N33" s="91">
        <f>IF($B33=P$20,'Construction Costs_2022'!$K$43+'Construction Costs_2022'!$K$7,0)</f>
        <v>0</v>
      </c>
      <c r="O33" s="38">
        <f t="shared" si="34"/>
        <v>43200</v>
      </c>
      <c r="P33" s="38"/>
      <c r="Q33" s="45"/>
      <c r="R33" s="46">
        <f t="shared" si="35"/>
        <v>43200</v>
      </c>
      <c r="S33" s="41">
        <f t="shared" si="12"/>
        <v>0</v>
      </c>
      <c r="T33" s="41">
        <f t="shared" si="12"/>
        <v>32806.579228542025</v>
      </c>
      <c r="U33" s="47">
        <f t="shared" si="12"/>
        <v>0</v>
      </c>
      <c r="V33" s="47">
        <f t="shared" si="12"/>
        <v>0</v>
      </c>
      <c r="W33" s="92">
        <f t="shared" si="36"/>
        <v>32806.579228542025</v>
      </c>
      <c r="X33" s="82">
        <f>IF($B33=AP$20,'OBC Cost _Van Oord 2022'!$E$30,0)</f>
        <v>0</v>
      </c>
      <c r="Y33" s="38">
        <f t="shared" si="37"/>
        <v>0</v>
      </c>
      <c r="Z33" s="38"/>
      <c r="AA33" s="38"/>
      <c r="AB33" s="38"/>
      <c r="AC33" s="38"/>
      <c r="AD33" s="38"/>
      <c r="AE33" s="38"/>
      <c r="AF33" s="370"/>
      <c r="AG33" s="38"/>
      <c r="AH33" s="38"/>
      <c r="AI33" s="38"/>
      <c r="AJ33" s="38"/>
      <c r="AK33" s="38"/>
      <c r="AL33" s="38"/>
      <c r="AM33" s="38"/>
      <c r="AN33" s="38"/>
      <c r="AO33" s="38"/>
      <c r="AP33" s="38"/>
      <c r="AQ33" s="45">
        <f t="shared" si="102"/>
        <v>0</v>
      </c>
      <c r="AR33" s="45"/>
      <c r="AS33" s="46">
        <f t="shared" si="13"/>
        <v>0</v>
      </c>
      <c r="AT33" s="41">
        <f t="shared" si="14"/>
        <v>0</v>
      </c>
      <c r="AU33" s="41">
        <f t="shared" si="15"/>
        <v>0</v>
      </c>
      <c r="AV33" s="47"/>
      <c r="AW33" s="47"/>
      <c r="AX33" s="47"/>
      <c r="AY33" s="47"/>
      <c r="AZ33" s="47">
        <f t="shared" si="83"/>
        <v>0</v>
      </c>
      <c r="BA33" s="47">
        <f t="shared" si="84"/>
        <v>0</v>
      </c>
      <c r="BB33" s="47">
        <f t="shared" si="85"/>
        <v>0</v>
      </c>
      <c r="BC33" s="47">
        <f t="shared" si="86"/>
        <v>0</v>
      </c>
      <c r="BD33" s="47">
        <f t="shared" si="87"/>
        <v>0</v>
      </c>
      <c r="BE33" s="47">
        <f t="shared" si="88"/>
        <v>0</v>
      </c>
      <c r="BF33" s="47">
        <f t="shared" si="89"/>
        <v>0</v>
      </c>
      <c r="BG33" s="47">
        <f t="shared" si="90"/>
        <v>0</v>
      </c>
      <c r="BH33" s="47">
        <f t="shared" si="95"/>
        <v>0</v>
      </c>
      <c r="BI33" s="47">
        <f t="shared" si="91"/>
        <v>0</v>
      </c>
      <c r="BJ33" s="47">
        <f t="shared" si="92"/>
        <v>0</v>
      </c>
      <c r="BK33" s="47">
        <f t="shared" si="93"/>
        <v>0</v>
      </c>
      <c r="BL33" s="47">
        <f t="shared" si="94"/>
        <v>0</v>
      </c>
      <c r="BM33" s="47">
        <f t="shared" si="96"/>
        <v>0</v>
      </c>
      <c r="BN33" s="92">
        <f t="shared" si="17"/>
        <v>0</v>
      </c>
      <c r="BO33" s="82">
        <f>IF($B33=BQ$20,'Construction Costs_2022'!$K$84+'Construction Costs_2022'!$K$7,0)</f>
        <v>0</v>
      </c>
      <c r="BP33" s="38">
        <f t="shared" si="18"/>
        <v>0</v>
      </c>
      <c r="BQ33" s="38"/>
      <c r="BR33" s="45"/>
      <c r="BS33" s="46">
        <f t="shared" si="97"/>
        <v>0</v>
      </c>
      <c r="BT33" s="41">
        <f t="shared" si="20"/>
        <v>0</v>
      </c>
      <c r="BU33" s="41">
        <f t="shared" si="20"/>
        <v>0</v>
      </c>
      <c r="BV33" s="47">
        <f t="shared" si="20"/>
        <v>0</v>
      </c>
      <c r="BW33" s="47">
        <f t="shared" si="20"/>
        <v>0</v>
      </c>
      <c r="BX33" s="92">
        <f t="shared" si="52"/>
        <v>0</v>
      </c>
      <c r="BY33" s="82">
        <f>IF($B33=CA$20,'Construction Costs_2022'!$K$104+'Construction Costs_2022'!$K$7,0)</f>
        <v>0</v>
      </c>
      <c r="BZ33" s="38">
        <f t="shared" si="21"/>
        <v>0</v>
      </c>
      <c r="CA33" s="38"/>
      <c r="CB33" s="45"/>
      <c r="CC33" s="46">
        <f t="shared" si="98"/>
        <v>0</v>
      </c>
      <c r="CD33" s="41">
        <f t="shared" si="23"/>
        <v>0</v>
      </c>
      <c r="CE33" s="41">
        <f t="shared" si="23"/>
        <v>0</v>
      </c>
      <c r="CF33" s="47">
        <f t="shared" si="23"/>
        <v>0</v>
      </c>
      <c r="CG33" s="47">
        <f t="shared" si="23"/>
        <v>0</v>
      </c>
      <c r="CH33" s="92">
        <f t="shared" si="53"/>
        <v>0</v>
      </c>
      <c r="CI33" s="82">
        <f>IF($B33=DA$20,'OBC Cost _Van Oord 2022'!$E$30,0)</f>
        <v>0</v>
      </c>
      <c r="CJ33" s="38">
        <f t="shared" si="54"/>
        <v>0</v>
      </c>
      <c r="CK33" s="38"/>
      <c r="CL33" s="38"/>
      <c r="CM33" s="38"/>
      <c r="CN33" s="38"/>
      <c r="CO33" s="38"/>
      <c r="CP33" s="38"/>
      <c r="CQ33" s="370"/>
      <c r="CR33" s="38"/>
      <c r="CS33" s="38"/>
      <c r="CT33" s="38"/>
      <c r="CU33" s="38"/>
      <c r="CV33" s="38"/>
      <c r="CW33" s="38"/>
      <c r="CX33" s="38"/>
      <c r="CY33" s="38"/>
      <c r="CZ33" s="38"/>
      <c r="DA33" s="38"/>
      <c r="DB33" s="45">
        <f t="shared" si="103"/>
        <v>0</v>
      </c>
      <c r="DC33" s="45"/>
      <c r="DD33" s="46">
        <f t="shared" si="25"/>
        <v>0</v>
      </c>
      <c r="DE33" s="41">
        <f t="shared" si="99"/>
        <v>0</v>
      </c>
      <c r="DF33" s="41">
        <f t="shared" si="27"/>
        <v>0</v>
      </c>
      <c r="DG33" s="47"/>
      <c r="DH33" s="47"/>
      <c r="DI33" s="47"/>
      <c r="DJ33" s="47"/>
      <c r="DK33" s="47">
        <f t="shared" si="55"/>
        <v>0</v>
      </c>
      <c r="DL33" s="47">
        <f t="shared" si="56"/>
        <v>0</v>
      </c>
      <c r="DM33" s="47">
        <f t="shared" si="57"/>
        <v>0</v>
      </c>
      <c r="DN33" s="47">
        <f t="shared" si="58"/>
        <v>0</v>
      </c>
      <c r="DO33" s="47">
        <f t="shared" si="59"/>
        <v>0</v>
      </c>
      <c r="DP33" s="47">
        <f t="shared" si="60"/>
        <v>0</v>
      </c>
      <c r="DQ33" s="47">
        <f t="shared" si="61"/>
        <v>0</v>
      </c>
      <c r="DR33" s="47">
        <f t="shared" si="62"/>
        <v>0</v>
      </c>
      <c r="DS33" s="47">
        <f t="shared" si="100"/>
        <v>0</v>
      </c>
      <c r="DT33" s="47">
        <f t="shared" si="64"/>
        <v>0</v>
      </c>
      <c r="DU33" s="47">
        <f t="shared" si="65"/>
        <v>0</v>
      </c>
      <c r="DV33" s="47">
        <f t="shared" si="66"/>
        <v>0</v>
      </c>
      <c r="DW33" s="47">
        <f t="shared" si="67"/>
        <v>0</v>
      </c>
      <c r="DX33" s="47">
        <f t="shared" si="101"/>
        <v>0</v>
      </c>
      <c r="DY33" s="92">
        <f t="shared" si="29"/>
        <v>0</v>
      </c>
    </row>
    <row r="34" spans="2:129" s="3" customFormat="1" ht="12.75" x14ac:dyDescent="0.2">
      <c r="B34" s="12">
        <f t="shared" si="30"/>
        <v>9</v>
      </c>
      <c r="C34" s="13">
        <f t="shared" si="31"/>
        <v>0.73373097218961414</v>
      </c>
      <c r="D34" s="82">
        <f>IF($B34=F$20,'Construction Costs_2022'!$K$22+'Construction Costs_2022'!$K$7,0)</f>
        <v>0</v>
      </c>
      <c r="E34" s="38">
        <f t="shared" si="32"/>
        <v>28800</v>
      </c>
      <c r="F34" s="38"/>
      <c r="G34" s="45"/>
      <c r="H34" s="46">
        <f t="shared" si="10"/>
        <v>28800</v>
      </c>
      <c r="I34" s="41">
        <f t="shared" si="11"/>
        <v>0</v>
      </c>
      <c r="J34" s="41">
        <f t="shared" si="11"/>
        <v>21131.451999060886</v>
      </c>
      <c r="K34" s="47">
        <f t="shared" si="11"/>
        <v>0</v>
      </c>
      <c r="L34" s="47">
        <f t="shared" si="11"/>
        <v>0</v>
      </c>
      <c r="M34" s="92">
        <f t="shared" si="33"/>
        <v>21131.451999060886</v>
      </c>
      <c r="N34" s="91">
        <f>IF($B34=P$20,'Construction Costs_2022'!$K$43+'Construction Costs_2022'!$K$7,0)</f>
        <v>0</v>
      </c>
      <c r="O34" s="38">
        <f t="shared" si="34"/>
        <v>43200</v>
      </c>
      <c r="P34" s="38"/>
      <c r="Q34" s="45"/>
      <c r="R34" s="46">
        <f t="shared" si="35"/>
        <v>43200</v>
      </c>
      <c r="S34" s="41">
        <f t="shared" si="12"/>
        <v>0</v>
      </c>
      <c r="T34" s="41">
        <f t="shared" si="12"/>
        <v>31697.177998591331</v>
      </c>
      <c r="U34" s="47">
        <f t="shared" si="12"/>
        <v>0</v>
      </c>
      <c r="V34" s="47">
        <f t="shared" si="12"/>
        <v>0</v>
      </c>
      <c r="W34" s="92">
        <f t="shared" si="36"/>
        <v>31697.177998591331</v>
      </c>
      <c r="X34" s="82">
        <f>IF($B34=AP$20,'OBC Cost _Van Oord 2022'!$E$30,0)</f>
        <v>0</v>
      </c>
      <c r="Y34" s="38">
        <f t="shared" si="37"/>
        <v>0</v>
      </c>
      <c r="Z34" s="38"/>
      <c r="AA34" s="38"/>
      <c r="AB34" s="38"/>
      <c r="AC34" s="38"/>
      <c r="AD34" s="38"/>
      <c r="AE34" s="38"/>
      <c r="AF34" s="370"/>
      <c r="AG34" s="38"/>
      <c r="AH34" s="38"/>
      <c r="AI34" s="38"/>
      <c r="AJ34" s="38"/>
      <c r="AK34" s="38"/>
      <c r="AL34" s="38"/>
      <c r="AM34" s="38"/>
      <c r="AN34" s="38"/>
      <c r="AO34" s="38"/>
      <c r="AP34" s="38"/>
      <c r="AQ34" s="45">
        <f t="shared" si="102"/>
        <v>0</v>
      </c>
      <c r="AR34" s="45"/>
      <c r="AS34" s="46">
        <f t="shared" si="13"/>
        <v>0</v>
      </c>
      <c r="AT34" s="41">
        <f t="shared" si="14"/>
        <v>0</v>
      </c>
      <c r="AU34" s="41">
        <f t="shared" si="15"/>
        <v>0</v>
      </c>
      <c r="AV34" s="47"/>
      <c r="AW34" s="47"/>
      <c r="AX34" s="47"/>
      <c r="AY34" s="47"/>
      <c r="AZ34" s="47">
        <f t="shared" si="83"/>
        <v>0</v>
      </c>
      <c r="BA34" s="47">
        <f t="shared" si="84"/>
        <v>0</v>
      </c>
      <c r="BB34" s="47">
        <f t="shared" si="85"/>
        <v>0</v>
      </c>
      <c r="BC34" s="47">
        <f t="shared" si="86"/>
        <v>0</v>
      </c>
      <c r="BD34" s="47">
        <f t="shared" si="87"/>
        <v>0</v>
      </c>
      <c r="BE34" s="47">
        <f t="shared" si="88"/>
        <v>0</v>
      </c>
      <c r="BF34" s="47">
        <f t="shared" si="89"/>
        <v>0</v>
      </c>
      <c r="BG34" s="47">
        <f t="shared" si="90"/>
        <v>0</v>
      </c>
      <c r="BH34" s="47">
        <f t="shared" si="95"/>
        <v>0</v>
      </c>
      <c r="BI34" s="47">
        <f t="shared" si="91"/>
        <v>0</v>
      </c>
      <c r="BJ34" s="47">
        <f t="shared" si="92"/>
        <v>0</v>
      </c>
      <c r="BK34" s="47">
        <f t="shared" si="93"/>
        <v>0</v>
      </c>
      <c r="BL34" s="47">
        <f t="shared" si="94"/>
        <v>0</v>
      </c>
      <c r="BM34" s="47">
        <f t="shared" si="96"/>
        <v>0</v>
      </c>
      <c r="BN34" s="92">
        <f t="shared" si="17"/>
        <v>0</v>
      </c>
      <c r="BO34" s="82">
        <f>IF($B34=BQ$20,'Construction Costs_2022'!$K$84+'Construction Costs_2022'!$K$7,0)</f>
        <v>0</v>
      </c>
      <c r="BP34" s="38">
        <f t="shared" si="18"/>
        <v>0</v>
      </c>
      <c r="BQ34" s="38"/>
      <c r="BR34" s="45"/>
      <c r="BS34" s="46">
        <f t="shared" si="97"/>
        <v>0</v>
      </c>
      <c r="BT34" s="41">
        <f t="shared" si="20"/>
        <v>0</v>
      </c>
      <c r="BU34" s="41">
        <f t="shared" si="20"/>
        <v>0</v>
      </c>
      <c r="BV34" s="47">
        <f t="shared" si="20"/>
        <v>0</v>
      </c>
      <c r="BW34" s="47">
        <f t="shared" si="20"/>
        <v>0</v>
      </c>
      <c r="BX34" s="92">
        <f t="shared" si="52"/>
        <v>0</v>
      </c>
      <c r="BY34" s="82">
        <f>IF($B34=CA$20,'Construction Costs_2022'!$K$104+'Construction Costs_2022'!$K$7,0)</f>
        <v>0</v>
      </c>
      <c r="BZ34" s="38">
        <f t="shared" si="21"/>
        <v>0</v>
      </c>
      <c r="CA34" s="38"/>
      <c r="CB34" s="45"/>
      <c r="CC34" s="46">
        <f t="shared" si="98"/>
        <v>0</v>
      </c>
      <c r="CD34" s="41">
        <f t="shared" si="23"/>
        <v>0</v>
      </c>
      <c r="CE34" s="41">
        <f t="shared" si="23"/>
        <v>0</v>
      </c>
      <c r="CF34" s="47">
        <f t="shared" si="23"/>
        <v>0</v>
      </c>
      <c r="CG34" s="47">
        <f t="shared" si="23"/>
        <v>0</v>
      </c>
      <c r="CH34" s="92">
        <f t="shared" si="53"/>
        <v>0</v>
      </c>
      <c r="CI34" s="82">
        <f>IF($B34=DA$20,'OBC Cost _Van Oord 2022'!$E$30,0)</f>
        <v>0</v>
      </c>
      <c r="CJ34" s="38">
        <f t="shared" si="54"/>
        <v>0</v>
      </c>
      <c r="CK34" s="38"/>
      <c r="CL34" s="38"/>
      <c r="CM34" s="38"/>
      <c r="CN34" s="38"/>
      <c r="CO34" s="38"/>
      <c r="CP34" s="38"/>
      <c r="CQ34" s="370"/>
      <c r="CR34" s="38"/>
      <c r="CS34" s="38"/>
      <c r="CT34" s="38"/>
      <c r="CU34" s="38"/>
      <c r="CV34" s="38"/>
      <c r="CW34" s="38"/>
      <c r="CX34" s="38"/>
      <c r="CY34" s="38"/>
      <c r="CZ34" s="38"/>
      <c r="DA34" s="38"/>
      <c r="DB34" s="45">
        <f t="shared" si="103"/>
        <v>0</v>
      </c>
      <c r="DC34" s="45"/>
      <c r="DD34" s="46">
        <f t="shared" si="25"/>
        <v>0</v>
      </c>
      <c r="DE34" s="41">
        <f t="shared" si="99"/>
        <v>0</v>
      </c>
      <c r="DF34" s="41">
        <f t="shared" si="27"/>
        <v>0</v>
      </c>
      <c r="DG34" s="47"/>
      <c r="DH34" s="47"/>
      <c r="DI34" s="47"/>
      <c r="DJ34" s="47"/>
      <c r="DK34" s="47">
        <f t="shared" si="55"/>
        <v>0</v>
      </c>
      <c r="DL34" s="47">
        <f t="shared" si="56"/>
        <v>0</v>
      </c>
      <c r="DM34" s="47">
        <f t="shared" si="57"/>
        <v>0</v>
      </c>
      <c r="DN34" s="47">
        <f t="shared" si="58"/>
        <v>0</v>
      </c>
      <c r="DO34" s="47">
        <f t="shared" si="59"/>
        <v>0</v>
      </c>
      <c r="DP34" s="47">
        <f t="shared" si="60"/>
        <v>0</v>
      </c>
      <c r="DQ34" s="47">
        <f t="shared" si="61"/>
        <v>0</v>
      </c>
      <c r="DR34" s="47">
        <f t="shared" si="62"/>
        <v>0</v>
      </c>
      <c r="DS34" s="47">
        <f t="shared" si="100"/>
        <v>0</v>
      </c>
      <c r="DT34" s="47">
        <f t="shared" si="64"/>
        <v>0</v>
      </c>
      <c r="DU34" s="47">
        <f t="shared" si="65"/>
        <v>0</v>
      </c>
      <c r="DV34" s="47">
        <f t="shared" si="66"/>
        <v>0</v>
      </c>
      <c r="DW34" s="47">
        <f t="shared" si="67"/>
        <v>0</v>
      </c>
      <c r="DX34" s="47">
        <f t="shared" si="101"/>
        <v>0</v>
      </c>
      <c r="DY34" s="92">
        <f t="shared" si="29"/>
        <v>0</v>
      </c>
    </row>
    <row r="35" spans="2:129" s="3" customFormat="1" ht="12.75" x14ac:dyDescent="0.2">
      <c r="B35" s="12">
        <f t="shared" si="30"/>
        <v>10</v>
      </c>
      <c r="C35" s="13">
        <f t="shared" si="31"/>
        <v>0.70891881370977217</v>
      </c>
      <c r="D35" s="82">
        <f>IF($B35=F$20,'Construction Costs_2022'!$K$22+'Construction Costs_2022'!$K$7,0)</f>
        <v>0</v>
      </c>
      <c r="E35" s="38">
        <f t="shared" si="32"/>
        <v>28800</v>
      </c>
      <c r="F35" s="38"/>
      <c r="G35" s="45"/>
      <c r="H35" s="46">
        <f t="shared" si="10"/>
        <v>28800</v>
      </c>
      <c r="I35" s="41">
        <f t="shared" si="11"/>
        <v>0</v>
      </c>
      <c r="J35" s="41">
        <f t="shared" si="11"/>
        <v>20416.861834841438</v>
      </c>
      <c r="K35" s="47">
        <f t="shared" si="11"/>
        <v>0</v>
      </c>
      <c r="L35" s="47">
        <f t="shared" si="11"/>
        <v>0</v>
      </c>
      <c r="M35" s="92">
        <f t="shared" si="33"/>
        <v>20416.861834841438</v>
      </c>
      <c r="N35" s="91">
        <f>IF($B35=P$20,'Construction Costs_2022'!$K$43+'Construction Costs_2022'!$K$7,0)</f>
        <v>0</v>
      </c>
      <c r="O35" s="38">
        <f t="shared" si="34"/>
        <v>43200</v>
      </c>
      <c r="P35" s="38"/>
      <c r="Q35" s="45"/>
      <c r="R35" s="46">
        <f t="shared" si="35"/>
        <v>43200</v>
      </c>
      <c r="S35" s="41">
        <f t="shared" si="12"/>
        <v>0</v>
      </c>
      <c r="T35" s="41">
        <f t="shared" si="12"/>
        <v>30625.292752262158</v>
      </c>
      <c r="U35" s="47">
        <f t="shared" si="12"/>
        <v>0</v>
      </c>
      <c r="V35" s="47">
        <f t="shared" si="12"/>
        <v>0</v>
      </c>
      <c r="W35" s="92">
        <f t="shared" si="36"/>
        <v>30625.292752262158</v>
      </c>
      <c r="X35" s="82">
        <f>IF($B35=AP$20,'OBC Cost _Van Oord 2022'!$E$30,0)</f>
        <v>0</v>
      </c>
      <c r="Y35" s="38">
        <f t="shared" si="37"/>
        <v>0</v>
      </c>
      <c r="Z35" s="38"/>
      <c r="AA35" s="38"/>
      <c r="AB35" s="38"/>
      <c r="AC35" s="38"/>
      <c r="AD35" s="38"/>
      <c r="AE35" s="38"/>
      <c r="AF35" s="370"/>
      <c r="AG35" s="38"/>
      <c r="AH35" s="38"/>
      <c r="AI35" s="38"/>
      <c r="AJ35" s="38"/>
      <c r="AK35" s="38"/>
      <c r="AL35" s="38"/>
      <c r="AM35" s="38"/>
      <c r="AN35" s="38"/>
      <c r="AO35" s="38"/>
      <c r="AP35" s="38"/>
      <c r="AQ35" s="45">
        <f t="shared" si="102"/>
        <v>0</v>
      </c>
      <c r="AR35" s="45"/>
      <c r="AS35" s="46">
        <f t="shared" si="13"/>
        <v>0</v>
      </c>
      <c r="AT35" s="41">
        <f t="shared" si="14"/>
        <v>0</v>
      </c>
      <c r="AU35" s="41">
        <f t="shared" si="15"/>
        <v>0</v>
      </c>
      <c r="AV35" s="47"/>
      <c r="AW35" s="47"/>
      <c r="AX35" s="47"/>
      <c r="AY35" s="47"/>
      <c r="AZ35" s="47">
        <f t="shared" si="83"/>
        <v>0</v>
      </c>
      <c r="BA35" s="47">
        <f t="shared" si="84"/>
        <v>0</v>
      </c>
      <c r="BB35" s="47">
        <f t="shared" si="85"/>
        <v>0</v>
      </c>
      <c r="BC35" s="47">
        <f t="shared" si="86"/>
        <v>0</v>
      </c>
      <c r="BD35" s="47">
        <f t="shared" si="87"/>
        <v>0</v>
      </c>
      <c r="BE35" s="47">
        <f t="shared" si="88"/>
        <v>0</v>
      </c>
      <c r="BF35" s="47">
        <f t="shared" si="89"/>
        <v>0</v>
      </c>
      <c r="BG35" s="47">
        <f t="shared" si="90"/>
        <v>0</v>
      </c>
      <c r="BH35" s="47">
        <f t="shared" si="95"/>
        <v>0</v>
      </c>
      <c r="BI35" s="47">
        <f t="shared" si="91"/>
        <v>0</v>
      </c>
      <c r="BJ35" s="47">
        <f t="shared" si="92"/>
        <v>0</v>
      </c>
      <c r="BK35" s="47">
        <f t="shared" si="93"/>
        <v>0</v>
      </c>
      <c r="BL35" s="47">
        <f t="shared" si="94"/>
        <v>0</v>
      </c>
      <c r="BM35" s="47">
        <f t="shared" si="96"/>
        <v>0</v>
      </c>
      <c r="BN35" s="92">
        <f t="shared" si="17"/>
        <v>0</v>
      </c>
      <c r="BO35" s="82">
        <f>IF($B35=BQ$20,'Construction Costs_2022'!$K$84+'Construction Costs_2022'!$K$7,0)</f>
        <v>0</v>
      </c>
      <c r="BP35" s="38">
        <f t="shared" si="18"/>
        <v>0</v>
      </c>
      <c r="BQ35" s="38"/>
      <c r="BR35" s="45"/>
      <c r="BS35" s="46">
        <f t="shared" si="97"/>
        <v>0</v>
      </c>
      <c r="BT35" s="41">
        <f t="shared" si="20"/>
        <v>0</v>
      </c>
      <c r="BU35" s="41">
        <f t="shared" si="20"/>
        <v>0</v>
      </c>
      <c r="BV35" s="47">
        <f t="shared" si="20"/>
        <v>0</v>
      </c>
      <c r="BW35" s="47">
        <f t="shared" si="20"/>
        <v>0</v>
      </c>
      <c r="BX35" s="92">
        <f t="shared" si="52"/>
        <v>0</v>
      </c>
      <c r="BY35" s="82">
        <f>IF($B35=CA$20,'Construction Costs_2022'!$K$104+'Construction Costs_2022'!$K$7,0)</f>
        <v>0</v>
      </c>
      <c r="BZ35" s="38">
        <f t="shared" si="21"/>
        <v>0</v>
      </c>
      <c r="CA35" s="38"/>
      <c r="CB35" s="45"/>
      <c r="CC35" s="46">
        <f t="shared" si="98"/>
        <v>0</v>
      </c>
      <c r="CD35" s="41">
        <f t="shared" si="23"/>
        <v>0</v>
      </c>
      <c r="CE35" s="41">
        <f t="shared" si="23"/>
        <v>0</v>
      </c>
      <c r="CF35" s="47">
        <f t="shared" si="23"/>
        <v>0</v>
      </c>
      <c r="CG35" s="47">
        <f t="shared" si="23"/>
        <v>0</v>
      </c>
      <c r="CH35" s="92">
        <f t="shared" si="53"/>
        <v>0</v>
      </c>
      <c r="CI35" s="82">
        <f>IF($B35=DA$20,'OBC Cost _Van Oord 2022'!$E$30,0)</f>
        <v>0</v>
      </c>
      <c r="CJ35" s="38">
        <f t="shared" si="54"/>
        <v>0</v>
      </c>
      <c r="CK35" s="38"/>
      <c r="CL35" s="38"/>
      <c r="CM35" s="38"/>
      <c r="CN35" s="38"/>
      <c r="CO35" s="38"/>
      <c r="CP35" s="38"/>
      <c r="CQ35" s="370"/>
      <c r="CR35" s="38"/>
      <c r="CS35" s="38"/>
      <c r="CT35" s="38"/>
      <c r="CU35" s="38"/>
      <c r="CV35" s="38"/>
      <c r="CW35" s="38"/>
      <c r="CX35" s="38"/>
      <c r="CY35" s="38"/>
      <c r="CZ35" s="38"/>
      <c r="DA35" s="38"/>
      <c r="DB35" s="45">
        <f t="shared" si="103"/>
        <v>0</v>
      </c>
      <c r="DC35" s="45"/>
      <c r="DD35" s="46">
        <f t="shared" si="25"/>
        <v>0</v>
      </c>
      <c r="DE35" s="41">
        <f t="shared" si="99"/>
        <v>0</v>
      </c>
      <c r="DF35" s="41">
        <f t="shared" si="27"/>
        <v>0</v>
      </c>
      <c r="DG35" s="47"/>
      <c r="DH35" s="47"/>
      <c r="DI35" s="47"/>
      <c r="DJ35" s="47"/>
      <c r="DK35" s="47">
        <f t="shared" si="55"/>
        <v>0</v>
      </c>
      <c r="DL35" s="47">
        <f t="shared" si="56"/>
        <v>0</v>
      </c>
      <c r="DM35" s="47">
        <f t="shared" si="57"/>
        <v>0</v>
      </c>
      <c r="DN35" s="47">
        <f t="shared" si="58"/>
        <v>0</v>
      </c>
      <c r="DO35" s="47">
        <f t="shared" si="59"/>
        <v>0</v>
      </c>
      <c r="DP35" s="47">
        <f t="shared" si="60"/>
        <v>0</v>
      </c>
      <c r="DQ35" s="47">
        <f t="shared" si="61"/>
        <v>0</v>
      </c>
      <c r="DR35" s="47">
        <f t="shared" si="62"/>
        <v>0</v>
      </c>
      <c r="DS35" s="47">
        <f t="shared" si="100"/>
        <v>0</v>
      </c>
      <c r="DT35" s="47">
        <f t="shared" si="64"/>
        <v>0</v>
      </c>
      <c r="DU35" s="47">
        <f t="shared" si="65"/>
        <v>0</v>
      </c>
      <c r="DV35" s="47">
        <f t="shared" si="66"/>
        <v>0</v>
      </c>
      <c r="DW35" s="47">
        <f t="shared" si="67"/>
        <v>0</v>
      </c>
      <c r="DX35" s="47">
        <f t="shared" si="101"/>
        <v>0</v>
      </c>
      <c r="DY35" s="92">
        <f t="shared" si="29"/>
        <v>0</v>
      </c>
    </row>
    <row r="36" spans="2:129" s="3" customFormat="1" ht="12.75" x14ac:dyDescent="0.2">
      <c r="B36" s="12">
        <f t="shared" si="30"/>
        <v>11</v>
      </c>
      <c r="C36" s="13">
        <f t="shared" si="31"/>
        <v>0.68494571372924851</v>
      </c>
      <c r="D36" s="82">
        <f>IF($B36=F$20,'Construction Costs_2022'!$K$22+'Construction Costs_2022'!$K$7,0)</f>
        <v>0</v>
      </c>
      <c r="E36" s="38">
        <f t="shared" si="32"/>
        <v>28800</v>
      </c>
      <c r="F36" s="38"/>
      <c r="G36" s="45"/>
      <c r="H36" s="46">
        <f t="shared" si="10"/>
        <v>28800</v>
      </c>
      <c r="I36" s="41">
        <f t="shared" si="11"/>
        <v>0</v>
      </c>
      <c r="J36" s="41">
        <f t="shared" si="11"/>
        <v>19726.436555402357</v>
      </c>
      <c r="K36" s="47">
        <f t="shared" si="11"/>
        <v>0</v>
      </c>
      <c r="L36" s="47">
        <f t="shared" si="11"/>
        <v>0</v>
      </c>
      <c r="M36" s="92">
        <f t="shared" si="33"/>
        <v>19726.436555402357</v>
      </c>
      <c r="N36" s="91">
        <f>IF($B36=P$20,'Construction Costs_2022'!$K$43+'Construction Costs_2022'!$K$7,0)</f>
        <v>0</v>
      </c>
      <c r="O36" s="38">
        <f t="shared" si="34"/>
        <v>43200</v>
      </c>
      <c r="P36" s="38"/>
      <c r="Q36" s="45"/>
      <c r="R36" s="46">
        <f t="shared" si="35"/>
        <v>43200</v>
      </c>
      <c r="S36" s="41">
        <f t="shared" si="12"/>
        <v>0</v>
      </c>
      <c r="T36" s="41">
        <f t="shared" si="12"/>
        <v>29589.654833103534</v>
      </c>
      <c r="U36" s="47">
        <f t="shared" si="12"/>
        <v>0</v>
      </c>
      <c r="V36" s="47">
        <f t="shared" si="12"/>
        <v>0</v>
      </c>
      <c r="W36" s="92">
        <f t="shared" si="36"/>
        <v>29589.654833103534</v>
      </c>
      <c r="X36" s="82">
        <f>IF($B36=AP$20,'OBC Cost _Van Oord 2022'!$E$30,0)</f>
        <v>0</v>
      </c>
      <c r="Y36" s="38">
        <f t="shared" si="37"/>
        <v>0</v>
      </c>
      <c r="Z36" s="38"/>
      <c r="AA36" s="38"/>
      <c r="AB36" s="38"/>
      <c r="AC36" s="38"/>
      <c r="AD36" s="38"/>
      <c r="AE36" s="38"/>
      <c r="AF36" s="370"/>
      <c r="AG36" s="38"/>
      <c r="AH36" s="38"/>
      <c r="AI36" s="38"/>
      <c r="AJ36" s="38"/>
      <c r="AK36" s="38"/>
      <c r="AL36" s="38"/>
      <c r="AM36" s="38"/>
      <c r="AN36" s="38"/>
      <c r="AO36" s="38"/>
      <c r="AP36" s="38"/>
      <c r="AQ36" s="45">
        <f t="shared" si="102"/>
        <v>0</v>
      </c>
      <c r="AR36" s="45"/>
      <c r="AS36" s="46">
        <f t="shared" si="13"/>
        <v>0</v>
      </c>
      <c r="AT36" s="41">
        <f t="shared" si="14"/>
        <v>0</v>
      </c>
      <c r="AU36" s="41">
        <f t="shared" si="15"/>
        <v>0</v>
      </c>
      <c r="AV36" s="47"/>
      <c r="AW36" s="47"/>
      <c r="AX36" s="47"/>
      <c r="AY36" s="47"/>
      <c r="AZ36" s="47">
        <f t="shared" si="83"/>
        <v>0</v>
      </c>
      <c r="BA36" s="47">
        <f t="shared" si="84"/>
        <v>0</v>
      </c>
      <c r="BB36" s="47">
        <f t="shared" si="85"/>
        <v>0</v>
      </c>
      <c r="BC36" s="47">
        <f t="shared" si="86"/>
        <v>0</v>
      </c>
      <c r="BD36" s="47">
        <f t="shared" si="87"/>
        <v>0</v>
      </c>
      <c r="BE36" s="47">
        <f t="shared" si="88"/>
        <v>0</v>
      </c>
      <c r="BF36" s="47">
        <f t="shared" si="89"/>
        <v>0</v>
      </c>
      <c r="BG36" s="47">
        <f t="shared" si="90"/>
        <v>0</v>
      </c>
      <c r="BH36" s="47">
        <f t="shared" si="95"/>
        <v>0</v>
      </c>
      <c r="BI36" s="47">
        <f t="shared" si="91"/>
        <v>0</v>
      </c>
      <c r="BJ36" s="47">
        <f t="shared" si="92"/>
        <v>0</v>
      </c>
      <c r="BK36" s="47">
        <f t="shared" si="93"/>
        <v>0</v>
      </c>
      <c r="BL36" s="47">
        <f t="shared" si="94"/>
        <v>0</v>
      </c>
      <c r="BM36" s="47">
        <f t="shared" si="96"/>
        <v>0</v>
      </c>
      <c r="BN36" s="92">
        <f t="shared" si="17"/>
        <v>0</v>
      </c>
      <c r="BO36" s="82">
        <f>IF($B36=BQ$20,'Construction Costs_2022'!$K$84+'Construction Costs_2022'!$K$7,0)</f>
        <v>0</v>
      </c>
      <c r="BP36" s="38">
        <f t="shared" si="18"/>
        <v>0</v>
      </c>
      <c r="BQ36" s="38"/>
      <c r="BR36" s="45"/>
      <c r="BS36" s="46">
        <f t="shared" si="97"/>
        <v>0</v>
      </c>
      <c r="BT36" s="41">
        <f t="shared" si="20"/>
        <v>0</v>
      </c>
      <c r="BU36" s="41">
        <f t="shared" si="20"/>
        <v>0</v>
      </c>
      <c r="BV36" s="47">
        <f t="shared" si="20"/>
        <v>0</v>
      </c>
      <c r="BW36" s="47">
        <f t="shared" si="20"/>
        <v>0</v>
      </c>
      <c r="BX36" s="92">
        <f t="shared" si="52"/>
        <v>0</v>
      </c>
      <c r="BY36" s="82">
        <f>IF($B36=CA$20,'Construction Costs_2022'!$K$104+'Construction Costs_2022'!$K$7,0)</f>
        <v>0</v>
      </c>
      <c r="BZ36" s="38">
        <f t="shared" si="21"/>
        <v>0</v>
      </c>
      <c r="CA36" s="38"/>
      <c r="CB36" s="45"/>
      <c r="CC36" s="46">
        <f t="shared" si="98"/>
        <v>0</v>
      </c>
      <c r="CD36" s="41">
        <f t="shared" si="23"/>
        <v>0</v>
      </c>
      <c r="CE36" s="41">
        <f t="shared" si="23"/>
        <v>0</v>
      </c>
      <c r="CF36" s="47">
        <f t="shared" si="23"/>
        <v>0</v>
      </c>
      <c r="CG36" s="47">
        <f t="shared" si="23"/>
        <v>0</v>
      </c>
      <c r="CH36" s="92">
        <f t="shared" si="53"/>
        <v>0</v>
      </c>
      <c r="CI36" s="82">
        <f>IF($B36=DA$20,'OBC Cost _Van Oord 2022'!$E$30,0)</f>
        <v>0</v>
      </c>
      <c r="CJ36" s="38">
        <f t="shared" si="54"/>
        <v>0</v>
      </c>
      <c r="CK36" s="38"/>
      <c r="CL36" s="38"/>
      <c r="CM36" s="38"/>
      <c r="CN36" s="38"/>
      <c r="CO36" s="38"/>
      <c r="CP36" s="38"/>
      <c r="CQ36" s="370"/>
      <c r="CR36" s="38"/>
      <c r="CS36" s="38"/>
      <c r="CT36" s="38"/>
      <c r="CU36" s="38"/>
      <c r="CV36" s="38"/>
      <c r="CW36" s="38"/>
      <c r="CX36" s="38"/>
      <c r="CY36" s="38"/>
      <c r="CZ36" s="38"/>
      <c r="DA36" s="38"/>
      <c r="DB36" s="45">
        <f t="shared" si="103"/>
        <v>0</v>
      </c>
      <c r="DC36" s="45"/>
      <c r="DD36" s="46">
        <f t="shared" si="25"/>
        <v>0</v>
      </c>
      <c r="DE36" s="41">
        <f t="shared" si="99"/>
        <v>0</v>
      </c>
      <c r="DF36" s="41">
        <f t="shared" si="27"/>
        <v>0</v>
      </c>
      <c r="DG36" s="47"/>
      <c r="DH36" s="47"/>
      <c r="DI36" s="47"/>
      <c r="DJ36" s="47"/>
      <c r="DK36" s="47">
        <f t="shared" si="55"/>
        <v>0</v>
      </c>
      <c r="DL36" s="47">
        <f t="shared" si="56"/>
        <v>0</v>
      </c>
      <c r="DM36" s="47">
        <f t="shared" si="57"/>
        <v>0</v>
      </c>
      <c r="DN36" s="47">
        <f t="shared" si="58"/>
        <v>0</v>
      </c>
      <c r="DO36" s="47">
        <f t="shared" si="59"/>
        <v>0</v>
      </c>
      <c r="DP36" s="47">
        <f t="shared" si="60"/>
        <v>0</v>
      </c>
      <c r="DQ36" s="47">
        <f t="shared" si="61"/>
        <v>0</v>
      </c>
      <c r="DR36" s="47">
        <f t="shared" si="62"/>
        <v>0</v>
      </c>
      <c r="DS36" s="47">
        <f t="shared" si="100"/>
        <v>0</v>
      </c>
      <c r="DT36" s="47">
        <f t="shared" si="64"/>
        <v>0</v>
      </c>
      <c r="DU36" s="47">
        <f t="shared" si="65"/>
        <v>0</v>
      </c>
      <c r="DV36" s="47">
        <f t="shared" si="66"/>
        <v>0</v>
      </c>
      <c r="DW36" s="47">
        <f t="shared" si="67"/>
        <v>0</v>
      </c>
      <c r="DX36" s="47">
        <f t="shared" si="101"/>
        <v>0</v>
      </c>
      <c r="DY36" s="92">
        <f t="shared" si="29"/>
        <v>0</v>
      </c>
    </row>
    <row r="37" spans="2:129" s="3" customFormat="1" ht="13.5" customHeight="1" x14ac:dyDescent="0.2">
      <c r="B37" s="12">
        <f t="shared" si="30"/>
        <v>12</v>
      </c>
      <c r="C37" s="13">
        <f t="shared" si="31"/>
        <v>0.66178329828912907</v>
      </c>
      <c r="D37" s="82">
        <f>IF($B37=F$20,'Construction Costs_2022'!$K$22+'Construction Costs_2022'!$K$7,0)</f>
        <v>0</v>
      </c>
      <c r="E37" s="38">
        <f t="shared" si="32"/>
        <v>1301900</v>
      </c>
      <c r="F37" s="38"/>
      <c r="G37" s="45"/>
      <c r="H37" s="46">
        <f t="shared" si="10"/>
        <v>1301900</v>
      </c>
      <c r="I37" s="41">
        <f t="shared" si="11"/>
        <v>0</v>
      </c>
      <c r="J37" s="41">
        <f t="shared" si="11"/>
        <v>861575.67604261718</v>
      </c>
      <c r="K37" s="47">
        <f t="shared" si="11"/>
        <v>0</v>
      </c>
      <c r="L37" s="47">
        <f t="shared" si="11"/>
        <v>0</v>
      </c>
      <c r="M37" s="92">
        <f t="shared" si="33"/>
        <v>861575.67604261718</v>
      </c>
      <c r="N37" s="91">
        <f>IF($B37=P$20,'Construction Costs_2022'!$K$43+'Construction Costs_2022'!$K$7,0)</f>
        <v>0</v>
      </c>
      <c r="O37" s="38">
        <f t="shared" si="34"/>
        <v>1207840</v>
      </c>
      <c r="P37" s="38"/>
      <c r="Q37" s="45"/>
      <c r="R37" s="46">
        <f t="shared" si="35"/>
        <v>1207840</v>
      </c>
      <c r="S37" s="41">
        <f t="shared" si="12"/>
        <v>0</v>
      </c>
      <c r="T37" s="41">
        <f t="shared" si="12"/>
        <v>799328.33900554164</v>
      </c>
      <c r="U37" s="47">
        <f t="shared" si="12"/>
        <v>0</v>
      </c>
      <c r="V37" s="47">
        <f t="shared" si="12"/>
        <v>0</v>
      </c>
      <c r="W37" s="92">
        <f t="shared" si="36"/>
        <v>799328.33900554164</v>
      </c>
      <c r="X37" s="82">
        <f>IF($B37=AP$20,'OBC Cost _Van Oord 2022'!$E$30,0)</f>
        <v>0</v>
      </c>
      <c r="Y37" s="38">
        <f t="shared" si="37"/>
        <v>919280</v>
      </c>
      <c r="Z37" s="38"/>
      <c r="AA37" s="38"/>
      <c r="AB37" s="38"/>
      <c r="AC37" s="38"/>
      <c r="AD37" s="38"/>
      <c r="AE37" s="38"/>
      <c r="AF37" s="38"/>
      <c r="AG37" s="38"/>
      <c r="AH37" s="38"/>
      <c r="AI37" s="38"/>
      <c r="AJ37" s="38"/>
      <c r="AK37" s="38"/>
      <c r="AL37" s="38"/>
      <c r="AM37" s="38"/>
      <c r="AN37" s="38"/>
      <c r="AO37" s="38"/>
      <c r="AP37" s="38"/>
      <c r="AQ37" s="45">
        <f t="shared" si="102"/>
        <v>239012.80000000002</v>
      </c>
      <c r="AR37" s="45"/>
      <c r="AS37" s="46">
        <f t="shared" si="13"/>
        <v>1158292.8</v>
      </c>
      <c r="AT37" s="41">
        <f t="shared" si="14"/>
        <v>0</v>
      </c>
      <c r="AU37" s="41">
        <f t="shared" si="15"/>
        <v>608364.15045123058</v>
      </c>
      <c r="AV37" s="47"/>
      <c r="AW37" s="47"/>
      <c r="AX37" s="47"/>
      <c r="AY37" s="47"/>
      <c r="AZ37" s="47">
        <f t="shared" si="83"/>
        <v>0</v>
      </c>
      <c r="BA37" s="47">
        <f t="shared" si="84"/>
        <v>0</v>
      </c>
      <c r="BB37" s="47">
        <f t="shared" si="85"/>
        <v>0</v>
      </c>
      <c r="BC37" s="47">
        <f t="shared" si="86"/>
        <v>0</v>
      </c>
      <c r="BD37" s="47">
        <f t="shared" si="87"/>
        <v>0</v>
      </c>
      <c r="BE37" s="47">
        <f t="shared" si="88"/>
        <v>0</v>
      </c>
      <c r="BF37" s="47">
        <f t="shared" si="89"/>
        <v>0</v>
      </c>
      <c r="BG37" s="47">
        <f t="shared" si="90"/>
        <v>0</v>
      </c>
      <c r="BH37" s="47">
        <f t="shared" si="95"/>
        <v>0</v>
      </c>
      <c r="BI37" s="47">
        <f t="shared" si="91"/>
        <v>0</v>
      </c>
      <c r="BJ37" s="47">
        <f t="shared" si="92"/>
        <v>0</v>
      </c>
      <c r="BK37" s="47">
        <f t="shared" si="93"/>
        <v>0</v>
      </c>
      <c r="BL37" s="47">
        <f t="shared" si="94"/>
        <v>0</v>
      </c>
      <c r="BM37" s="47">
        <f t="shared" si="96"/>
        <v>158174.67911731996</v>
      </c>
      <c r="BN37" s="92">
        <f t="shared" si="17"/>
        <v>766538.82956855057</v>
      </c>
      <c r="BO37" s="82">
        <f>IF($B37=BQ$20,'Construction Costs_2022'!$K$84+'Construction Costs_2022'!$K$7,0)</f>
        <v>0</v>
      </c>
      <c r="BP37" s="38">
        <f t="shared" si="18"/>
        <v>875260</v>
      </c>
      <c r="BQ37" s="38"/>
      <c r="BR37" s="45"/>
      <c r="BS37" s="46">
        <f t="shared" si="97"/>
        <v>875260</v>
      </c>
      <c r="BT37" s="41">
        <f t="shared" si="20"/>
        <v>0</v>
      </c>
      <c r="BU37" s="41">
        <f t="shared" si="20"/>
        <v>579232.44966054312</v>
      </c>
      <c r="BV37" s="47">
        <f t="shared" si="20"/>
        <v>0</v>
      </c>
      <c r="BW37" s="47">
        <f t="shared" si="20"/>
        <v>0</v>
      </c>
      <c r="BX37" s="92">
        <f t="shared" si="52"/>
        <v>579232.44966054312</v>
      </c>
      <c r="BY37" s="82">
        <f>IF($B37=CA$20,'Construction Costs_2022'!$K$104+'Construction Costs_2022'!$K$7,0)</f>
        <v>0</v>
      </c>
      <c r="BZ37" s="38">
        <f t="shared" si="21"/>
        <v>1004320</v>
      </c>
      <c r="CA37" s="38"/>
      <c r="CB37" s="45"/>
      <c r="CC37" s="46">
        <f t="shared" si="98"/>
        <v>1004320</v>
      </c>
      <c r="CD37" s="41">
        <f t="shared" si="23"/>
        <v>0</v>
      </c>
      <c r="CE37" s="41">
        <f t="shared" si="23"/>
        <v>664642.20213773812</v>
      </c>
      <c r="CF37" s="47">
        <f t="shared" si="23"/>
        <v>0</v>
      </c>
      <c r="CG37" s="47">
        <f t="shared" si="23"/>
        <v>0</v>
      </c>
      <c r="CH37" s="92">
        <f t="shared" si="53"/>
        <v>664642.20213773812</v>
      </c>
      <c r="CI37" s="82">
        <f>IF($B37=DA$20,'OBC Cost _Van Oord 2022'!$E$30,0)</f>
        <v>0</v>
      </c>
      <c r="CJ37" s="38">
        <f t="shared" si="54"/>
        <v>201530</v>
      </c>
      <c r="CK37" s="38"/>
      <c r="CL37" s="38"/>
      <c r="CM37" s="38"/>
      <c r="CN37" s="38"/>
      <c r="CO37" s="38"/>
      <c r="CP37" s="38"/>
      <c r="CQ37" s="38"/>
      <c r="CR37" s="38"/>
      <c r="CS37" s="38"/>
      <c r="CT37" s="38"/>
      <c r="CU37" s="38"/>
      <c r="CV37" s="38"/>
      <c r="CW37" s="38"/>
      <c r="CX37" s="38"/>
      <c r="CY37" s="38"/>
      <c r="CZ37" s="38"/>
      <c r="DA37" s="38"/>
      <c r="DB37" s="45">
        <f t="shared" si="103"/>
        <v>60459</v>
      </c>
      <c r="DC37" s="45"/>
      <c r="DD37" s="46">
        <f t="shared" si="25"/>
        <v>261989</v>
      </c>
      <c r="DE37" s="41">
        <f t="shared" si="99"/>
        <v>0</v>
      </c>
      <c r="DF37" s="41">
        <f t="shared" si="27"/>
        <v>133369.18810420818</v>
      </c>
      <c r="DG37" s="47"/>
      <c r="DH37" s="47"/>
      <c r="DI37" s="47"/>
      <c r="DJ37" s="47"/>
      <c r="DK37" s="47">
        <f t="shared" si="55"/>
        <v>0</v>
      </c>
      <c r="DL37" s="47">
        <f t="shared" si="56"/>
        <v>0</v>
      </c>
      <c r="DM37" s="47">
        <f t="shared" si="57"/>
        <v>0</v>
      </c>
      <c r="DN37" s="47">
        <f t="shared" si="58"/>
        <v>0</v>
      </c>
      <c r="DO37" s="47">
        <f t="shared" si="59"/>
        <v>0</v>
      </c>
      <c r="DP37" s="47">
        <f t="shared" si="60"/>
        <v>0</v>
      </c>
      <c r="DQ37" s="47">
        <f t="shared" si="61"/>
        <v>0</v>
      </c>
      <c r="DR37" s="47">
        <f t="shared" si="62"/>
        <v>0</v>
      </c>
      <c r="DS37" s="47">
        <f t="shared" si="100"/>
        <v>0</v>
      </c>
      <c r="DT37" s="47">
        <f t="shared" si="64"/>
        <v>0</v>
      </c>
      <c r="DU37" s="47">
        <f t="shared" si="65"/>
        <v>0</v>
      </c>
      <c r="DV37" s="47">
        <f t="shared" si="66"/>
        <v>0</v>
      </c>
      <c r="DW37" s="47">
        <f t="shared" si="67"/>
        <v>0</v>
      </c>
      <c r="DX37" s="47">
        <f t="shared" si="101"/>
        <v>40010.756431262453</v>
      </c>
      <c r="DY37" s="92">
        <f t="shared" si="29"/>
        <v>173379.94453547063</v>
      </c>
    </row>
    <row r="38" spans="2:129" s="3" customFormat="1" ht="13.5" customHeight="1" x14ac:dyDescent="0.2">
      <c r="B38" s="12">
        <f t="shared" si="30"/>
        <v>13</v>
      </c>
      <c r="C38" s="13">
        <f t="shared" si="31"/>
        <v>0.63940415293635666</v>
      </c>
      <c r="D38" s="82">
        <f>IF($B38=F$20,'Construction Costs_2022'!$K$22+'Construction Costs_2022'!$K$7,0)</f>
        <v>0</v>
      </c>
      <c r="E38" s="38">
        <f t="shared" si="32"/>
        <v>28800</v>
      </c>
      <c r="F38" s="38"/>
      <c r="G38" s="45"/>
      <c r="H38" s="46">
        <f t="shared" si="10"/>
        <v>28800</v>
      </c>
      <c r="I38" s="41">
        <f t="shared" si="11"/>
        <v>0</v>
      </c>
      <c r="J38" s="41">
        <f t="shared" si="11"/>
        <v>18414.839604567071</v>
      </c>
      <c r="K38" s="47">
        <f t="shared" si="11"/>
        <v>0</v>
      </c>
      <c r="L38" s="47">
        <f t="shared" si="11"/>
        <v>0</v>
      </c>
      <c r="M38" s="92">
        <f t="shared" si="33"/>
        <v>18414.839604567071</v>
      </c>
      <c r="N38" s="91">
        <f>IF($B38=P$20,'Construction Costs_2022'!$K$43+'Construction Costs_2022'!$K$7,0)</f>
        <v>0</v>
      </c>
      <c r="O38" s="38">
        <f t="shared" si="34"/>
        <v>43200</v>
      </c>
      <c r="P38" s="38"/>
      <c r="Q38" s="45"/>
      <c r="R38" s="46">
        <f t="shared" si="35"/>
        <v>43200</v>
      </c>
      <c r="S38" s="41">
        <f t="shared" si="12"/>
        <v>0</v>
      </c>
      <c r="T38" s="41">
        <f t="shared" si="12"/>
        <v>27622.259406850608</v>
      </c>
      <c r="U38" s="47">
        <f t="shared" ref="U38:U101" si="104">P39*$C38</f>
        <v>0</v>
      </c>
      <c r="V38" s="47">
        <f t="shared" si="12"/>
        <v>0</v>
      </c>
      <c r="W38" s="92">
        <f t="shared" si="36"/>
        <v>27622.259406850608</v>
      </c>
      <c r="X38" s="82">
        <f>IF($B38=AP$20,'OBC Cost _Van Oord 2022'!$E$30,0)</f>
        <v>0</v>
      </c>
      <c r="Y38" s="38">
        <f t="shared" si="37"/>
        <v>0</v>
      </c>
      <c r="Z38" s="38"/>
      <c r="AA38" s="38"/>
      <c r="AB38" s="38"/>
      <c r="AC38" s="38"/>
      <c r="AD38" s="38"/>
      <c r="AE38" s="38"/>
      <c r="AF38" s="38"/>
      <c r="AG38" s="38"/>
      <c r="AH38" s="38"/>
      <c r="AI38" s="38"/>
      <c r="AJ38" s="38"/>
      <c r="AK38" s="38"/>
      <c r="AL38" s="38"/>
      <c r="AM38" s="38"/>
      <c r="AN38" s="38"/>
      <c r="AO38" s="38"/>
      <c r="AP38" s="38"/>
      <c r="AQ38" s="45">
        <f t="shared" si="102"/>
        <v>0</v>
      </c>
      <c r="AR38" s="45"/>
      <c r="AS38" s="46">
        <f t="shared" si="13"/>
        <v>0</v>
      </c>
      <c r="AT38" s="41">
        <f t="shared" si="14"/>
        <v>0</v>
      </c>
      <c r="AU38" s="41">
        <f t="shared" si="15"/>
        <v>0</v>
      </c>
      <c r="AV38" s="47"/>
      <c r="AW38" s="47"/>
      <c r="AX38" s="47"/>
      <c r="AY38" s="47"/>
      <c r="AZ38" s="47">
        <f t="shared" si="83"/>
        <v>0</v>
      </c>
      <c r="BA38" s="47">
        <f t="shared" si="84"/>
        <v>0</v>
      </c>
      <c r="BB38" s="47">
        <f t="shared" si="85"/>
        <v>0</v>
      </c>
      <c r="BC38" s="47">
        <f t="shared" si="86"/>
        <v>0</v>
      </c>
      <c r="BD38" s="47">
        <f t="shared" si="87"/>
        <v>0</v>
      </c>
      <c r="BE38" s="47">
        <f t="shared" si="88"/>
        <v>0</v>
      </c>
      <c r="BF38" s="47">
        <f t="shared" si="89"/>
        <v>0</v>
      </c>
      <c r="BG38" s="47">
        <f t="shared" si="90"/>
        <v>0</v>
      </c>
      <c r="BH38" s="47">
        <f t="shared" si="95"/>
        <v>0</v>
      </c>
      <c r="BI38" s="47">
        <f t="shared" si="91"/>
        <v>0</v>
      </c>
      <c r="BJ38" s="47">
        <f t="shared" si="92"/>
        <v>0</v>
      </c>
      <c r="BK38" s="47">
        <f t="shared" si="93"/>
        <v>0</v>
      </c>
      <c r="BL38" s="47">
        <f t="shared" si="94"/>
        <v>0</v>
      </c>
      <c r="BM38" s="47">
        <f t="shared" si="96"/>
        <v>0</v>
      </c>
      <c r="BN38" s="92">
        <f t="shared" si="17"/>
        <v>0</v>
      </c>
      <c r="BO38" s="82">
        <f>IF($B38=BQ$20,'Construction Costs_2022'!$K$84+'Construction Costs_2022'!$K$7,0)</f>
        <v>0</v>
      </c>
      <c r="BP38" s="38">
        <f t="shared" si="18"/>
        <v>0</v>
      </c>
      <c r="BQ38" s="38"/>
      <c r="BR38" s="45"/>
      <c r="BS38" s="46">
        <f t="shared" si="97"/>
        <v>0</v>
      </c>
      <c r="BT38" s="41">
        <f t="shared" si="20"/>
        <v>0</v>
      </c>
      <c r="BU38" s="41">
        <f t="shared" si="20"/>
        <v>0</v>
      </c>
      <c r="BV38" s="47">
        <f t="shared" si="20"/>
        <v>0</v>
      </c>
      <c r="BW38" s="47">
        <f t="shared" si="20"/>
        <v>0</v>
      </c>
      <c r="BX38" s="92">
        <f t="shared" si="52"/>
        <v>0</v>
      </c>
      <c r="BY38" s="82">
        <f>IF($B38=CA$20,'Construction Costs_2022'!$K$104+'Construction Costs_2022'!$K$7,0)</f>
        <v>0</v>
      </c>
      <c r="BZ38" s="38">
        <f t="shared" si="21"/>
        <v>0</v>
      </c>
      <c r="CA38" s="38"/>
      <c r="CB38" s="45"/>
      <c r="CC38" s="46">
        <f t="shared" si="98"/>
        <v>0</v>
      </c>
      <c r="CD38" s="41">
        <f t="shared" si="23"/>
        <v>0</v>
      </c>
      <c r="CE38" s="41">
        <f t="shared" si="23"/>
        <v>0</v>
      </c>
      <c r="CF38" s="47">
        <f t="shared" si="23"/>
        <v>0</v>
      </c>
      <c r="CG38" s="47">
        <f t="shared" si="23"/>
        <v>0</v>
      </c>
      <c r="CH38" s="92">
        <f t="shared" si="53"/>
        <v>0</v>
      </c>
      <c r="CI38" s="82">
        <f>IF($B38=DA$20,'OBC Cost _Van Oord 2022'!$E$30,0)</f>
        <v>0</v>
      </c>
      <c r="CJ38" s="38">
        <f t="shared" si="54"/>
        <v>0</v>
      </c>
      <c r="CK38" s="38"/>
      <c r="CL38" s="38"/>
      <c r="CM38" s="38"/>
      <c r="CN38" s="38"/>
      <c r="CO38" s="38"/>
      <c r="CP38" s="38"/>
      <c r="CQ38" s="38"/>
      <c r="CR38" s="38"/>
      <c r="CS38" s="38"/>
      <c r="CT38" s="38"/>
      <c r="CU38" s="38"/>
      <c r="CV38" s="38"/>
      <c r="CW38" s="38"/>
      <c r="CX38" s="38"/>
      <c r="CY38" s="38"/>
      <c r="CZ38" s="38"/>
      <c r="DA38" s="38"/>
      <c r="DB38" s="45">
        <f t="shared" si="103"/>
        <v>0</v>
      </c>
      <c r="DC38" s="45"/>
      <c r="DD38" s="46">
        <f t="shared" si="25"/>
        <v>0</v>
      </c>
      <c r="DE38" s="41">
        <f t="shared" si="99"/>
        <v>0</v>
      </c>
      <c r="DF38" s="41">
        <f t="shared" si="27"/>
        <v>0</v>
      </c>
      <c r="DG38" s="47"/>
      <c r="DH38" s="47"/>
      <c r="DI38" s="47"/>
      <c r="DJ38" s="47"/>
      <c r="DK38" s="47">
        <f t="shared" si="55"/>
        <v>0</v>
      </c>
      <c r="DL38" s="47">
        <f t="shared" si="56"/>
        <v>0</v>
      </c>
      <c r="DM38" s="47">
        <f t="shared" si="57"/>
        <v>0</v>
      </c>
      <c r="DN38" s="47">
        <f t="shared" si="58"/>
        <v>0</v>
      </c>
      <c r="DO38" s="47">
        <f t="shared" si="59"/>
        <v>0</v>
      </c>
      <c r="DP38" s="47">
        <f t="shared" si="60"/>
        <v>0</v>
      </c>
      <c r="DQ38" s="47">
        <f t="shared" si="61"/>
        <v>0</v>
      </c>
      <c r="DR38" s="47">
        <f t="shared" si="62"/>
        <v>0</v>
      </c>
      <c r="DS38" s="47">
        <f t="shared" si="100"/>
        <v>0</v>
      </c>
      <c r="DT38" s="47">
        <f t="shared" si="64"/>
        <v>0</v>
      </c>
      <c r="DU38" s="47">
        <f t="shared" si="65"/>
        <v>0</v>
      </c>
      <c r="DV38" s="47">
        <f t="shared" si="66"/>
        <v>0</v>
      </c>
      <c r="DW38" s="47">
        <f t="shared" si="67"/>
        <v>0</v>
      </c>
      <c r="DX38" s="47">
        <f t="shared" si="101"/>
        <v>0</v>
      </c>
      <c r="DY38" s="92">
        <f t="shared" si="29"/>
        <v>0</v>
      </c>
    </row>
    <row r="39" spans="2:129" s="3" customFormat="1" ht="12.75" x14ac:dyDescent="0.2">
      <c r="B39" s="12">
        <f t="shared" si="30"/>
        <v>14</v>
      </c>
      <c r="C39" s="13">
        <f t="shared" si="31"/>
        <v>0.61778179027667313</v>
      </c>
      <c r="D39" s="82">
        <f>IF($B39=F$20,'Construction Costs_2022'!$K$22+'Construction Costs_2022'!$K$7,0)</f>
        <v>0</v>
      </c>
      <c r="E39" s="38">
        <f t="shared" si="32"/>
        <v>28800</v>
      </c>
      <c r="F39" s="38"/>
      <c r="G39" s="45"/>
      <c r="H39" s="46">
        <f t="shared" si="10"/>
        <v>28800</v>
      </c>
      <c r="I39" s="41">
        <f t="shared" si="11"/>
        <v>0</v>
      </c>
      <c r="J39" s="41">
        <f t="shared" si="11"/>
        <v>17792.115559968184</v>
      </c>
      <c r="K39" s="47">
        <f t="shared" si="11"/>
        <v>0</v>
      </c>
      <c r="L39" s="47">
        <f t="shared" si="11"/>
        <v>0</v>
      </c>
      <c r="M39" s="92">
        <f t="shared" si="33"/>
        <v>17792.115559968184</v>
      </c>
      <c r="N39" s="91">
        <f>IF($B39=P$20,'Construction Costs_2022'!$K$43+'Construction Costs_2022'!$K$7,0)</f>
        <v>0</v>
      </c>
      <c r="O39" s="38">
        <f t="shared" si="34"/>
        <v>43200</v>
      </c>
      <c r="P39" s="38"/>
      <c r="Q39" s="45"/>
      <c r="R39" s="46">
        <f t="shared" si="35"/>
        <v>43200</v>
      </c>
      <c r="S39" s="41">
        <f t="shared" si="12"/>
        <v>0</v>
      </c>
      <c r="T39" s="41">
        <f t="shared" si="12"/>
        <v>26688.173339952278</v>
      </c>
      <c r="U39" s="47">
        <f t="shared" si="104"/>
        <v>0</v>
      </c>
      <c r="V39" s="47">
        <f t="shared" si="12"/>
        <v>0</v>
      </c>
      <c r="W39" s="92">
        <f t="shared" si="36"/>
        <v>26688.173339952278</v>
      </c>
      <c r="X39" s="82">
        <f>IF($B39=AP$20,'OBC Cost _Van Oord 2022'!$E$30,0)</f>
        <v>0</v>
      </c>
      <c r="Y39" s="38">
        <f t="shared" si="37"/>
        <v>0</v>
      </c>
      <c r="Z39" s="38"/>
      <c r="AA39" s="38"/>
      <c r="AB39" s="38"/>
      <c r="AC39" s="38"/>
      <c r="AD39" s="38"/>
      <c r="AE39" s="38"/>
      <c r="AF39" s="38"/>
      <c r="AG39" s="38"/>
      <c r="AH39" s="38"/>
      <c r="AI39" s="38"/>
      <c r="AJ39" s="38"/>
      <c r="AK39" s="38"/>
      <c r="AL39" s="38"/>
      <c r="AM39" s="38"/>
      <c r="AN39" s="38"/>
      <c r="AO39" s="38"/>
      <c r="AP39" s="38"/>
      <c r="AQ39" s="45">
        <f t="shared" si="102"/>
        <v>0</v>
      </c>
      <c r="AR39" s="45"/>
      <c r="AS39" s="46">
        <f t="shared" si="13"/>
        <v>0</v>
      </c>
      <c r="AT39" s="41">
        <f t="shared" si="14"/>
        <v>0</v>
      </c>
      <c r="AU39" s="41">
        <f t="shared" si="15"/>
        <v>0</v>
      </c>
      <c r="AV39" s="47"/>
      <c r="AW39" s="47"/>
      <c r="AX39" s="47"/>
      <c r="AY39" s="47"/>
      <c r="AZ39" s="47">
        <f t="shared" si="83"/>
        <v>0</v>
      </c>
      <c r="BA39" s="47">
        <f t="shared" si="84"/>
        <v>0</v>
      </c>
      <c r="BB39" s="47">
        <f t="shared" si="85"/>
        <v>0</v>
      </c>
      <c r="BC39" s="47">
        <f t="shared" si="86"/>
        <v>0</v>
      </c>
      <c r="BD39" s="47">
        <f t="shared" si="87"/>
        <v>0</v>
      </c>
      <c r="BE39" s="47">
        <f t="shared" si="88"/>
        <v>0</v>
      </c>
      <c r="BF39" s="47">
        <f t="shared" si="89"/>
        <v>0</v>
      </c>
      <c r="BG39" s="47">
        <f t="shared" si="90"/>
        <v>0</v>
      </c>
      <c r="BH39" s="47">
        <f t="shared" si="95"/>
        <v>0</v>
      </c>
      <c r="BI39" s="47">
        <f t="shared" si="91"/>
        <v>0</v>
      </c>
      <c r="BJ39" s="47">
        <f t="shared" si="92"/>
        <v>0</v>
      </c>
      <c r="BK39" s="47">
        <f t="shared" si="93"/>
        <v>0</v>
      </c>
      <c r="BL39" s="47">
        <f t="shared" si="94"/>
        <v>0</v>
      </c>
      <c r="BM39" s="47">
        <f t="shared" si="96"/>
        <v>0</v>
      </c>
      <c r="BN39" s="92">
        <f t="shared" si="17"/>
        <v>0</v>
      </c>
      <c r="BO39" s="82">
        <f>IF($B39=BQ$20,'Construction Costs_2022'!$K$84+'Construction Costs_2022'!$K$7,0)</f>
        <v>0</v>
      </c>
      <c r="BP39" s="38">
        <f t="shared" si="18"/>
        <v>0</v>
      </c>
      <c r="BQ39" s="38"/>
      <c r="BR39" s="45"/>
      <c r="BS39" s="46">
        <f t="shared" si="97"/>
        <v>0</v>
      </c>
      <c r="BT39" s="41">
        <f t="shared" si="20"/>
        <v>0</v>
      </c>
      <c r="BU39" s="41">
        <f t="shared" si="20"/>
        <v>0</v>
      </c>
      <c r="BV39" s="47">
        <f t="shared" si="20"/>
        <v>0</v>
      </c>
      <c r="BW39" s="47">
        <f t="shared" si="20"/>
        <v>0</v>
      </c>
      <c r="BX39" s="92">
        <f t="shared" si="52"/>
        <v>0</v>
      </c>
      <c r="BY39" s="82">
        <f>IF($B39=CA$20,'Construction Costs_2022'!$K$104+'Construction Costs_2022'!$K$7,0)</f>
        <v>0</v>
      </c>
      <c r="BZ39" s="38">
        <f t="shared" si="21"/>
        <v>0</v>
      </c>
      <c r="CA39" s="38"/>
      <c r="CB39" s="45"/>
      <c r="CC39" s="46">
        <f t="shared" si="98"/>
        <v>0</v>
      </c>
      <c r="CD39" s="41">
        <f t="shared" si="23"/>
        <v>0</v>
      </c>
      <c r="CE39" s="41">
        <f t="shared" si="23"/>
        <v>0</v>
      </c>
      <c r="CF39" s="47">
        <f t="shared" si="23"/>
        <v>0</v>
      </c>
      <c r="CG39" s="47">
        <f t="shared" si="23"/>
        <v>0</v>
      </c>
      <c r="CH39" s="92">
        <f t="shared" si="53"/>
        <v>0</v>
      </c>
      <c r="CI39" s="82">
        <f>IF($B39=DA$20,'OBC Cost _Van Oord 2022'!$E$30,0)</f>
        <v>0</v>
      </c>
      <c r="CJ39" s="38">
        <f t="shared" si="54"/>
        <v>0</v>
      </c>
      <c r="CK39" s="38"/>
      <c r="CL39" s="38"/>
      <c r="CM39" s="38"/>
      <c r="CN39" s="38"/>
      <c r="CO39" s="38"/>
      <c r="CP39" s="38"/>
      <c r="CQ39" s="38"/>
      <c r="CR39" s="38"/>
      <c r="CS39" s="38"/>
      <c r="CT39" s="38"/>
      <c r="CU39" s="38"/>
      <c r="CV39" s="38"/>
      <c r="CW39" s="38"/>
      <c r="CX39" s="38"/>
      <c r="CY39" s="38"/>
      <c r="CZ39" s="38"/>
      <c r="DA39" s="38"/>
      <c r="DB39" s="45">
        <f t="shared" si="103"/>
        <v>0</v>
      </c>
      <c r="DC39" s="45"/>
      <c r="DD39" s="46">
        <f t="shared" si="25"/>
        <v>0</v>
      </c>
      <c r="DE39" s="41">
        <f t="shared" si="99"/>
        <v>0</v>
      </c>
      <c r="DF39" s="41">
        <f t="shared" si="27"/>
        <v>0</v>
      </c>
      <c r="DG39" s="47"/>
      <c r="DH39" s="47"/>
      <c r="DI39" s="47"/>
      <c r="DJ39" s="47"/>
      <c r="DK39" s="47">
        <f t="shared" si="55"/>
        <v>0</v>
      </c>
      <c r="DL39" s="47">
        <f t="shared" si="56"/>
        <v>0</v>
      </c>
      <c r="DM39" s="47">
        <f t="shared" si="57"/>
        <v>0</v>
      </c>
      <c r="DN39" s="47">
        <f t="shared" si="58"/>
        <v>0</v>
      </c>
      <c r="DO39" s="47">
        <f t="shared" si="59"/>
        <v>0</v>
      </c>
      <c r="DP39" s="47">
        <f t="shared" si="60"/>
        <v>0</v>
      </c>
      <c r="DQ39" s="47">
        <f t="shared" si="61"/>
        <v>0</v>
      </c>
      <c r="DR39" s="47">
        <f t="shared" si="62"/>
        <v>0</v>
      </c>
      <c r="DS39" s="47">
        <f t="shared" si="100"/>
        <v>0</v>
      </c>
      <c r="DT39" s="47">
        <f t="shared" si="64"/>
        <v>0</v>
      </c>
      <c r="DU39" s="47">
        <f t="shared" si="65"/>
        <v>0</v>
      </c>
      <c r="DV39" s="47">
        <f t="shared" si="66"/>
        <v>0</v>
      </c>
      <c r="DW39" s="47">
        <f t="shared" si="67"/>
        <v>0</v>
      </c>
      <c r="DX39" s="47">
        <f t="shared" si="101"/>
        <v>0</v>
      </c>
      <c r="DY39" s="92">
        <f t="shared" si="29"/>
        <v>0</v>
      </c>
    </row>
    <row r="40" spans="2:129" s="3" customFormat="1" ht="12.75" x14ac:dyDescent="0.2">
      <c r="B40" s="12">
        <f t="shared" si="30"/>
        <v>15</v>
      </c>
      <c r="C40" s="13">
        <f t="shared" si="31"/>
        <v>0.59689061862480497</v>
      </c>
      <c r="D40" s="82">
        <f>IF($B40=F$20,'Construction Costs_2022'!$K$22+'Construction Costs_2022'!$K$7,0)</f>
        <v>0</v>
      </c>
      <c r="E40" s="38">
        <f t="shared" si="32"/>
        <v>28800</v>
      </c>
      <c r="F40" s="38"/>
      <c r="G40" s="45"/>
      <c r="H40" s="46">
        <f t="shared" si="10"/>
        <v>28800</v>
      </c>
      <c r="I40" s="41">
        <f t="shared" si="11"/>
        <v>0</v>
      </c>
      <c r="J40" s="41">
        <f t="shared" si="11"/>
        <v>17190.449816394383</v>
      </c>
      <c r="K40" s="47">
        <f t="shared" si="11"/>
        <v>0</v>
      </c>
      <c r="L40" s="47">
        <f t="shared" si="11"/>
        <v>0</v>
      </c>
      <c r="M40" s="92">
        <f t="shared" si="33"/>
        <v>17190.449816394383</v>
      </c>
      <c r="N40" s="91">
        <f>IF($B40=P$20,'Construction Costs_2022'!$K$43+'Construction Costs_2022'!$K$7,0)</f>
        <v>0</v>
      </c>
      <c r="O40" s="38">
        <f t="shared" si="34"/>
        <v>43200</v>
      </c>
      <c r="P40" s="38"/>
      <c r="Q40" s="45"/>
      <c r="R40" s="46">
        <f t="shared" si="35"/>
        <v>43200</v>
      </c>
      <c r="S40" s="41">
        <f t="shared" si="12"/>
        <v>0</v>
      </c>
      <c r="T40" s="41">
        <f t="shared" si="12"/>
        <v>25785.674724591576</v>
      </c>
      <c r="U40" s="47">
        <f t="shared" si="104"/>
        <v>0</v>
      </c>
      <c r="V40" s="47">
        <f t="shared" si="12"/>
        <v>0</v>
      </c>
      <c r="W40" s="92">
        <f t="shared" si="36"/>
        <v>25785.674724591576</v>
      </c>
      <c r="X40" s="82">
        <f>IF($B40=AP$20,'OBC Cost _Van Oord 2022'!$E$30,0)</f>
        <v>0</v>
      </c>
      <c r="Y40" s="38">
        <f t="shared" si="37"/>
        <v>0</v>
      </c>
      <c r="Z40" s="38"/>
      <c r="AA40" s="38"/>
      <c r="AB40" s="38"/>
      <c r="AC40" s="38"/>
      <c r="AD40" s="38"/>
      <c r="AE40" s="38"/>
      <c r="AF40" s="38"/>
      <c r="AG40" s="38"/>
      <c r="AH40" s="38"/>
      <c r="AI40" s="38"/>
      <c r="AJ40" s="38"/>
      <c r="AK40" s="38"/>
      <c r="AL40" s="38"/>
      <c r="AM40" s="38"/>
      <c r="AN40" s="38"/>
      <c r="AO40" s="38"/>
      <c r="AP40" s="38"/>
      <c r="AQ40" s="45">
        <f t="shared" si="102"/>
        <v>0</v>
      </c>
      <c r="AR40" s="45"/>
      <c r="AS40" s="46">
        <f t="shared" si="13"/>
        <v>0</v>
      </c>
      <c r="AT40" s="41">
        <f t="shared" si="14"/>
        <v>0</v>
      </c>
      <c r="AU40" s="41">
        <f t="shared" si="15"/>
        <v>0</v>
      </c>
      <c r="AV40" s="47"/>
      <c r="AW40" s="47"/>
      <c r="AX40" s="47"/>
      <c r="AY40" s="47"/>
      <c r="AZ40" s="47">
        <f t="shared" si="83"/>
        <v>0</v>
      </c>
      <c r="BA40" s="47">
        <f t="shared" si="84"/>
        <v>0</v>
      </c>
      <c r="BB40" s="47">
        <f t="shared" si="85"/>
        <v>0</v>
      </c>
      <c r="BC40" s="47">
        <f t="shared" si="86"/>
        <v>0</v>
      </c>
      <c r="BD40" s="47">
        <f t="shared" si="87"/>
        <v>0</v>
      </c>
      <c r="BE40" s="47">
        <f t="shared" si="88"/>
        <v>0</v>
      </c>
      <c r="BF40" s="47">
        <f t="shared" si="89"/>
        <v>0</v>
      </c>
      <c r="BG40" s="47">
        <f t="shared" si="90"/>
        <v>0</v>
      </c>
      <c r="BH40" s="47">
        <f t="shared" si="95"/>
        <v>0</v>
      </c>
      <c r="BI40" s="47">
        <f t="shared" si="91"/>
        <v>0</v>
      </c>
      <c r="BJ40" s="47">
        <f t="shared" si="92"/>
        <v>0</v>
      </c>
      <c r="BK40" s="47">
        <f t="shared" si="93"/>
        <v>0</v>
      </c>
      <c r="BL40" s="47">
        <f t="shared" si="94"/>
        <v>0</v>
      </c>
      <c r="BM40" s="47">
        <f t="shared" si="96"/>
        <v>0</v>
      </c>
      <c r="BN40" s="92">
        <f t="shared" si="17"/>
        <v>0</v>
      </c>
      <c r="BO40" s="82">
        <f>IF($B40=BQ$20,'Construction Costs_2022'!$K$84+'Construction Costs_2022'!$K$7,0)</f>
        <v>0</v>
      </c>
      <c r="BP40" s="38">
        <f t="shared" si="18"/>
        <v>0</v>
      </c>
      <c r="BQ40" s="38"/>
      <c r="BR40" s="45"/>
      <c r="BS40" s="46">
        <f t="shared" si="97"/>
        <v>0</v>
      </c>
      <c r="BT40" s="41">
        <f t="shared" si="20"/>
        <v>0</v>
      </c>
      <c r="BU40" s="41">
        <f t="shared" si="20"/>
        <v>0</v>
      </c>
      <c r="BV40" s="47">
        <f t="shared" si="20"/>
        <v>0</v>
      </c>
      <c r="BW40" s="47">
        <f t="shared" si="20"/>
        <v>0</v>
      </c>
      <c r="BX40" s="92">
        <f t="shared" si="52"/>
        <v>0</v>
      </c>
      <c r="BY40" s="82">
        <f>IF($B40=CA$20,'Construction Costs_2022'!$K$104+'Construction Costs_2022'!$K$7,0)</f>
        <v>0</v>
      </c>
      <c r="BZ40" s="38">
        <f t="shared" si="21"/>
        <v>0</v>
      </c>
      <c r="CA40" s="38"/>
      <c r="CB40" s="45"/>
      <c r="CC40" s="46">
        <f t="shared" si="98"/>
        <v>0</v>
      </c>
      <c r="CD40" s="41">
        <f t="shared" si="23"/>
        <v>0</v>
      </c>
      <c r="CE40" s="41">
        <f t="shared" si="23"/>
        <v>0</v>
      </c>
      <c r="CF40" s="47">
        <f t="shared" si="23"/>
        <v>0</v>
      </c>
      <c r="CG40" s="47">
        <f t="shared" si="23"/>
        <v>0</v>
      </c>
      <c r="CH40" s="92">
        <f t="shared" si="53"/>
        <v>0</v>
      </c>
      <c r="CI40" s="82">
        <f>IF($B40=DA$20,'OBC Cost _Van Oord 2022'!$E$30,0)</f>
        <v>0</v>
      </c>
      <c r="CJ40" s="38">
        <f t="shared" si="54"/>
        <v>0</v>
      </c>
      <c r="CK40" s="38"/>
      <c r="CL40" s="38"/>
      <c r="CM40" s="38"/>
      <c r="CN40" s="38"/>
      <c r="CO40" s="38"/>
      <c r="CP40" s="38"/>
      <c r="CQ40" s="38"/>
      <c r="CR40" s="38"/>
      <c r="CS40" s="38"/>
      <c r="CT40" s="38"/>
      <c r="CU40" s="38"/>
      <c r="CV40" s="38"/>
      <c r="CW40" s="38"/>
      <c r="CX40" s="38"/>
      <c r="CY40" s="38"/>
      <c r="CZ40" s="38"/>
      <c r="DA40" s="38"/>
      <c r="DB40" s="45">
        <f t="shared" si="103"/>
        <v>0</v>
      </c>
      <c r="DC40" s="45"/>
      <c r="DD40" s="46">
        <f t="shared" si="25"/>
        <v>0</v>
      </c>
      <c r="DE40" s="41">
        <f t="shared" si="99"/>
        <v>0</v>
      </c>
      <c r="DF40" s="41">
        <f t="shared" si="27"/>
        <v>0</v>
      </c>
      <c r="DG40" s="47"/>
      <c r="DH40" s="47"/>
      <c r="DI40" s="47"/>
      <c r="DJ40" s="47"/>
      <c r="DK40" s="47">
        <f t="shared" si="55"/>
        <v>0</v>
      </c>
      <c r="DL40" s="47">
        <f t="shared" si="56"/>
        <v>0</v>
      </c>
      <c r="DM40" s="47">
        <f t="shared" si="57"/>
        <v>0</v>
      </c>
      <c r="DN40" s="47">
        <f t="shared" si="58"/>
        <v>0</v>
      </c>
      <c r="DO40" s="47">
        <f t="shared" si="59"/>
        <v>0</v>
      </c>
      <c r="DP40" s="47">
        <f t="shared" si="60"/>
        <v>0</v>
      </c>
      <c r="DQ40" s="47">
        <f t="shared" si="61"/>
        <v>0</v>
      </c>
      <c r="DR40" s="47">
        <f t="shared" si="62"/>
        <v>0</v>
      </c>
      <c r="DS40" s="47">
        <f t="shared" si="100"/>
        <v>0</v>
      </c>
      <c r="DT40" s="47">
        <f t="shared" si="64"/>
        <v>0</v>
      </c>
      <c r="DU40" s="47">
        <f t="shared" si="65"/>
        <v>0</v>
      </c>
      <c r="DV40" s="47">
        <f t="shared" si="66"/>
        <v>0</v>
      </c>
      <c r="DW40" s="47">
        <f t="shared" si="67"/>
        <v>0</v>
      </c>
      <c r="DX40" s="47">
        <f t="shared" si="101"/>
        <v>0</v>
      </c>
      <c r="DY40" s="92">
        <f t="shared" si="29"/>
        <v>0</v>
      </c>
    </row>
    <row r="41" spans="2:129" s="3" customFormat="1" ht="12.75" x14ac:dyDescent="0.2">
      <c r="B41" s="12">
        <f t="shared" si="30"/>
        <v>16</v>
      </c>
      <c r="C41" s="13">
        <f t="shared" si="31"/>
        <v>0.57670591171478747</v>
      </c>
      <c r="D41" s="82">
        <f>IF($B41=F$20,'Construction Costs_2022'!$K$22+'Construction Costs_2022'!$K$7,0)</f>
        <v>0</v>
      </c>
      <c r="E41" s="38">
        <f t="shared" si="32"/>
        <v>28800</v>
      </c>
      <c r="F41" s="38"/>
      <c r="G41" s="45"/>
      <c r="H41" s="46">
        <f t="shared" si="10"/>
        <v>28800</v>
      </c>
      <c r="I41" s="41">
        <f t="shared" si="11"/>
        <v>0</v>
      </c>
      <c r="J41" s="41">
        <f t="shared" si="11"/>
        <v>16609.130257385877</v>
      </c>
      <c r="K41" s="47">
        <f t="shared" si="11"/>
        <v>0</v>
      </c>
      <c r="L41" s="47">
        <f t="shared" si="11"/>
        <v>0</v>
      </c>
      <c r="M41" s="92">
        <f t="shared" si="33"/>
        <v>16609.130257385877</v>
      </c>
      <c r="N41" s="91">
        <f>IF($B41=P$20,'Construction Costs_2022'!$K$43+'Construction Costs_2022'!$K$7,0)</f>
        <v>0</v>
      </c>
      <c r="O41" s="38">
        <f t="shared" si="34"/>
        <v>43200</v>
      </c>
      <c r="P41" s="38"/>
      <c r="Q41" s="45"/>
      <c r="R41" s="46">
        <f t="shared" si="35"/>
        <v>43200</v>
      </c>
      <c r="S41" s="41">
        <f t="shared" ref="S41:T72" si="105">N41*$C41</f>
        <v>0</v>
      </c>
      <c r="T41" s="41">
        <f t="shared" si="105"/>
        <v>24913.69538607882</v>
      </c>
      <c r="U41" s="47">
        <f t="shared" si="104"/>
        <v>0</v>
      </c>
      <c r="V41" s="47">
        <f t="shared" ref="V41:V104" si="106">Q41*$C41</f>
        <v>0</v>
      </c>
      <c r="W41" s="92">
        <f t="shared" si="36"/>
        <v>24913.69538607882</v>
      </c>
      <c r="X41" s="82">
        <f>IF($B41=AP$20,'OBC Cost _Van Oord 2022'!$E$30,0)</f>
        <v>0</v>
      </c>
      <c r="Y41" s="38">
        <f t="shared" si="37"/>
        <v>0</v>
      </c>
      <c r="Z41" s="38"/>
      <c r="AA41" s="38"/>
      <c r="AB41" s="38"/>
      <c r="AC41" s="38"/>
      <c r="AD41" s="38"/>
      <c r="AE41" s="38"/>
      <c r="AF41" s="38"/>
      <c r="AG41" s="38"/>
      <c r="AH41" s="38"/>
      <c r="AI41" s="38"/>
      <c r="AJ41" s="38"/>
      <c r="AK41" s="38"/>
      <c r="AL41" s="38"/>
      <c r="AM41" s="38"/>
      <c r="AN41" s="38"/>
      <c r="AO41" s="38"/>
      <c r="AP41" s="38"/>
      <c r="AQ41" s="45">
        <f t="shared" si="102"/>
        <v>0</v>
      </c>
      <c r="AR41" s="45"/>
      <c r="AS41" s="46">
        <f t="shared" si="13"/>
        <v>0</v>
      </c>
      <c r="AT41" s="41">
        <f t="shared" si="14"/>
        <v>0</v>
      </c>
      <c r="AU41" s="41">
        <f t="shared" si="15"/>
        <v>0</v>
      </c>
      <c r="AV41" s="47"/>
      <c r="AW41" s="47"/>
      <c r="AX41" s="47"/>
      <c r="AY41" s="47"/>
      <c r="AZ41" s="47">
        <f t="shared" si="83"/>
        <v>0</v>
      </c>
      <c r="BA41" s="47">
        <f t="shared" si="84"/>
        <v>0</v>
      </c>
      <c r="BB41" s="47">
        <f t="shared" si="85"/>
        <v>0</v>
      </c>
      <c r="BC41" s="47">
        <f t="shared" si="86"/>
        <v>0</v>
      </c>
      <c r="BD41" s="47">
        <f t="shared" si="87"/>
        <v>0</v>
      </c>
      <c r="BE41" s="47">
        <f t="shared" si="88"/>
        <v>0</v>
      </c>
      <c r="BF41" s="47">
        <f t="shared" si="89"/>
        <v>0</v>
      </c>
      <c r="BG41" s="47">
        <f t="shared" si="90"/>
        <v>0</v>
      </c>
      <c r="BH41" s="47">
        <f t="shared" si="95"/>
        <v>0</v>
      </c>
      <c r="BI41" s="47">
        <f t="shared" si="91"/>
        <v>0</v>
      </c>
      <c r="BJ41" s="47">
        <f t="shared" si="92"/>
        <v>0</v>
      </c>
      <c r="BK41" s="47">
        <f t="shared" si="93"/>
        <v>0</v>
      </c>
      <c r="BL41" s="47">
        <f t="shared" si="94"/>
        <v>0</v>
      </c>
      <c r="BM41" s="47">
        <f t="shared" si="96"/>
        <v>0</v>
      </c>
      <c r="BN41" s="92">
        <f t="shared" si="17"/>
        <v>0</v>
      </c>
      <c r="BO41" s="82">
        <f>IF($B41=BQ$20,'Construction Costs_2022'!$K$84+'Construction Costs_2022'!$K$7,0)</f>
        <v>0</v>
      </c>
      <c r="BP41" s="38">
        <f t="shared" si="18"/>
        <v>0</v>
      </c>
      <c r="BQ41" s="38"/>
      <c r="BR41" s="45"/>
      <c r="BS41" s="46">
        <f t="shared" si="97"/>
        <v>0</v>
      </c>
      <c r="BT41" s="41">
        <f t="shared" si="20"/>
        <v>0</v>
      </c>
      <c r="BU41" s="41">
        <f t="shared" si="20"/>
        <v>0</v>
      </c>
      <c r="BV41" s="47">
        <f t="shared" si="20"/>
        <v>0</v>
      </c>
      <c r="BW41" s="47">
        <f t="shared" si="20"/>
        <v>0</v>
      </c>
      <c r="BX41" s="92">
        <f t="shared" si="52"/>
        <v>0</v>
      </c>
      <c r="BY41" s="82">
        <f>IF($B41=CA$20,'Construction Costs_2022'!$K$104+'Construction Costs_2022'!$K$7,0)</f>
        <v>0</v>
      </c>
      <c r="BZ41" s="38">
        <f t="shared" si="21"/>
        <v>0</v>
      </c>
      <c r="CA41" s="38"/>
      <c r="CB41" s="45"/>
      <c r="CC41" s="46">
        <f t="shared" si="98"/>
        <v>0</v>
      </c>
      <c r="CD41" s="41">
        <f t="shared" si="23"/>
        <v>0</v>
      </c>
      <c r="CE41" s="41">
        <f t="shared" si="23"/>
        <v>0</v>
      </c>
      <c r="CF41" s="47">
        <f t="shared" si="23"/>
        <v>0</v>
      </c>
      <c r="CG41" s="47">
        <f t="shared" si="23"/>
        <v>0</v>
      </c>
      <c r="CH41" s="92">
        <f t="shared" si="53"/>
        <v>0</v>
      </c>
      <c r="CI41" s="82">
        <f>IF($B41=DA$20,'OBC Cost _Van Oord 2022'!$E$30,0)</f>
        <v>0</v>
      </c>
      <c r="CJ41" s="38">
        <f t="shared" si="54"/>
        <v>0</v>
      </c>
      <c r="CK41" s="38"/>
      <c r="CL41" s="38"/>
      <c r="CM41" s="38"/>
      <c r="CN41" s="38"/>
      <c r="CO41" s="38"/>
      <c r="CP41" s="38"/>
      <c r="CQ41" s="38"/>
      <c r="CR41" s="38"/>
      <c r="CS41" s="38"/>
      <c r="CT41" s="38"/>
      <c r="CU41" s="38"/>
      <c r="CV41" s="38"/>
      <c r="CW41" s="38"/>
      <c r="CX41" s="38"/>
      <c r="CY41" s="38"/>
      <c r="CZ41" s="38"/>
      <c r="DA41" s="38"/>
      <c r="DB41" s="45">
        <f t="shared" si="103"/>
        <v>0</v>
      </c>
      <c r="DC41" s="45"/>
      <c r="DD41" s="46">
        <f t="shared" si="25"/>
        <v>0</v>
      </c>
      <c r="DE41" s="41">
        <f t="shared" si="99"/>
        <v>0</v>
      </c>
      <c r="DF41" s="41">
        <f t="shared" si="27"/>
        <v>0</v>
      </c>
      <c r="DG41" s="47"/>
      <c r="DH41" s="47"/>
      <c r="DI41" s="47"/>
      <c r="DJ41" s="47"/>
      <c r="DK41" s="47">
        <f t="shared" si="55"/>
        <v>0</v>
      </c>
      <c r="DL41" s="47">
        <f t="shared" si="56"/>
        <v>0</v>
      </c>
      <c r="DM41" s="47">
        <f t="shared" si="57"/>
        <v>0</v>
      </c>
      <c r="DN41" s="47">
        <f t="shared" si="58"/>
        <v>0</v>
      </c>
      <c r="DO41" s="47">
        <f t="shared" si="59"/>
        <v>0</v>
      </c>
      <c r="DP41" s="47">
        <f t="shared" si="60"/>
        <v>0</v>
      </c>
      <c r="DQ41" s="47">
        <f t="shared" si="61"/>
        <v>0</v>
      </c>
      <c r="DR41" s="47">
        <f t="shared" si="62"/>
        <v>0</v>
      </c>
      <c r="DS41" s="47">
        <f t="shared" si="100"/>
        <v>0</v>
      </c>
      <c r="DT41" s="47">
        <f t="shared" si="64"/>
        <v>0</v>
      </c>
      <c r="DU41" s="47">
        <f t="shared" si="65"/>
        <v>0</v>
      </c>
      <c r="DV41" s="47">
        <f t="shared" si="66"/>
        <v>0</v>
      </c>
      <c r="DW41" s="47">
        <f t="shared" si="67"/>
        <v>0</v>
      </c>
      <c r="DX41" s="47">
        <f t="shared" si="101"/>
        <v>0</v>
      </c>
      <c r="DY41" s="92">
        <f t="shared" si="29"/>
        <v>0</v>
      </c>
    </row>
    <row r="42" spans="2:129" s="3" customFormat="1" ht="12.75" x14ac:dyDescent="0.2">
      <c r="B42" s="12">
        <f t="shared" si="30"/>
        <v>17</v>
      </c>
      <c r="C42" s="13">
        <f t="shared" si="31"/>
        <v>0.55720377943457733</v>
      </c>
      <c r="D42" s="82">
        <f>IF($B42=F$20,'Construction Costs_2022'!$K$22+'Construction Costs_2022'!$K$7,0)</f>
        <v>0</v>
      </c>
      <c r="E42" s="38">
        <f t="shared" si="32"/>
        <v>28800</v>
      </c>
      <c r="F42" s="38"/>
      <c r="G42" s="45"/>
      <c r="H42" s="46">
        <f t="shared" si="10"/>
        <v>28800</v>
      </c>
      <c r="I42" s="41">
        <f t="shared" si="11"/>
        <v>0</v>
      </c>
      <c r="J42" s="41">
        <f t="shared" si="11"/>
        <v>16047.468847715827</v>
      </c>
      <c r="K42" s="47">
        <f t="shared" si="11"/>
        <v>0</v>
      </c>
      <c r="L42" s="47">
        <f t="shared" si="11"/>
        <v>0</v>
      </c>
      <c r="M42" s="92">
        <f t="shared" si="33"/>
        <v>16047.468847715827</v>
      </c>
      <c r="N42" s="91">
        <f>IF($B42=P$20,'Construction Costs_2022'!$K$43+'Construction Costs_2022'!$K$7,0)</f>
        <v>0</v>
      </c>
      <c r="O42" s="38">
        <f t="shared" si="34"/>
        <v>43200</v>
      </c>
      <c r="P42" s="38"/>
      <c r="Q42" s="45"/>
      <c r="R42" s="46">
        <f t="shared" si="35"/>
        <v>43200</v>
      </c>
      <c r="S42" s="41">
        <f t="shared" si="105"/>
        <v>0</v>
      </c>
      <c r="T42" s="41">
        <f t="shared" si="105"/>
        <v>24071.20327157374</v>
      </c>
      <c r="U42" s="47">
        <f t="shared" si="104"/>
        <v>0</v>
      </c>
      <c r="V42" s="47">
        <f t="shared" si="106"/>
        <v>0</v>
      </c>
      <c r="W42" s="92">
        <f t="shared" si="36"/>
        <v>24071.20327157374</v>
      </c>
      <c r="X42" s="82">
        <f>IF($B42=AP$20,'OBC Cost _Van Oord 2022'!$E$30,0)</f>
        <v>0</v>
      </c>
      <c r="Y42" s="38">
        <f t="shared" si="37"/>
        <v>86400</v>
      </c>
      <c r="Z42" s="38"/>
      <c r="AA42" s="38"/>
      <c r="AB42" s="38"/>
      <c r="AC42" s="38"/>
      <c r="AD42" s="38"/>
      <c r="AE42" s="38"/>
      <c r="AF42" s="38"/>
      <c r="AG42" s="38"/>
      <c r="AH42" s="38"/>
      <c r="AI42" s="38"/>
      <c r="AJ42" s="38"/>
      <c r="AK42" s="38"/>
      <c r="AL42" s="38"/>
      <c r="AM42" s="38"/>
      <c r="AN42" s="38"/>
      <c r="AO42" s="38"/>
      <c r="AP42" s="38"/>
      <c r="AQ42" s="45">
        <f t="shared" si="102"/>
        <v>22464</v>
      </c>
      <c r="AR42" s="45"/>
      <c r="AS42" s="46">
        <f t="shared" si="13"/>
        <v>108864</v>
      </c>
      <c r="AT42" s="41">
        <f t="shared" si="14"/>
        <v>0</v>
      </c>
      <c r="AU42" s="41">
        <f t="shared" si="15"/>
        <v>48142.406543147481</v>
      </c>
      <c r="AV42" s="47"/>
      <c r="AW42" s="47"/>
      <c r="AX42" s="47"/>
      <c r="AY42" s="47"/>
      <c r="AZ42" s="47">
        <f t="shared" si="83"/>
        <v>0</v>
      </c>
      <c r="BA42" s="47">
        <f t="shared" si="84"/>
        <v>0</v>
      </c>
      <c r="BB42" s="47">
        <f t="shared" si="85"/>
        <v>0</v>
      </c>
      <c r="BC42" s="47">
        <f t="shared" si="86"/>
        <v>0</v>
      </c>
      <c r="BD42" s="47">
        <f t="shared" si="87"/>
        <v>0</v>
      </c>
      <c r="BE42" s="47">
        <f t="shared" si="88"/>
        <v>0</v>
      </c>
      <c r="BF42" s="47">
        <f t="shared" si="89"/>
        <v>0</v>
      </c>
      <c r="BG42" s="47">
        <f t="shared" si="90"/>
        <v>0</v>
      </c>
      <c r="BH42" s="47">
        <f t="shared" si="95"/>
        <v>0</v>
      </c>
      <c r="BI42" s="47">
        <f t="shared" si="91"/>
        <v>0</v>
      </c>
      <c r="BJ42" s="47">
        <f t="shared" si="92"/>
        <v>0</v>
      </c>
      <c r="BK42" s="47">
        <f t="shared" si="93"/>
        <v>0</v>
      </c>
      <c r="BL42" s="47">
        <f t="shared" si="94"/>
        <v>0</v>
      </c>
      <c r="BM42" s="47">
        <f t="shared" si="96"/>
        <v>12517.025701218345</v>
      </c>
      <c r="BN42" s="92">
        <f t="shared" si="17"/>
        <v>60659.432244365824</v>
      </c>
      <c r="BO42" s="82">
        <f>IF($B42=BQ$20,'Construction Costs_2022'!$K$84+'Construction Costs_2022'!$K$7,0)</f>
        <v>0</v>
      </c>
      <c r="BP42" s="38">
        <f t="shared" si="18"/>
        <v>100800</v>
      </c>
      <c r="BQ42" s="38"/>
      <c r="BR42" s="45"/>
      <c r="BS42" s="46">
        <f t="shared" si="97"/>
        <v>100800</v>
      </c>
      <c r="BT42" s="41">
        <f t="shared" si="20"/>
        <v>0</v>
      </c>
      <c r="BU42" s="41">
        <f t="shared" si="20"/>
        <v>56166.140967005398</v>
      </c>
      <c r="BV42" s="47">
        <f t="shared" si="20"/>
        <v>0</v>
      </c>
      <c r="BW42" s="47">
        <f t="shared" si="20"/>
        <v>0</v>
      </c>
      <c r="BX42" s="92">
        <f t="shared" si="52"/>
        <v>56166.140967005398</v>
      </c>
      <c r="BY42" s="82">
        <f>IF($B42=CA$20,'Construction Costs_2022'!$K$104+'Construction Costs_2022'!$K$7,0)</f>
        <v>0</v>
      </c>
      <c r="BZ42" s="38">
        <f t="shared" si="21"/>
        <v>57600</v>
      </c>
      <c r="CA42" s="38"/>
      <c r="CB42" s="45"/>
      <c r="CC42" s="46">
        <f t="shared" si="98"/>
        <v>57600</v>
      </c>
      <c r="CD42" s="41">
        <f t="shared" si="23"/>
        <v>0</v>
      </c>
      <c r="CE42" s="41">
        <f t="shared" si="23"/>
        <v>32094.937695431654</v>
      </c>
      <c r="CF42" s="47">
        <f t="shared" si="23"/>
        <v>0</v>
      </c>
      <c r="CG42" s="47">
        <f t="shared" si="23"/>
        <v>0</v>
      </c>
      <c r="CH42" s="92">
        <f t="shared" si="53"/>
        <v>32094.937695431654</v>
      </c>
      <c r="CI42" s="82">
        <f>IF($B42=DA$20,'OBC Cost _Van Oord 2022'!$E$30,0)</f>
        <v>0</v>
      </c>
      <c r="CJ42" s="38">
        <f t="shared" si="54"/>
        <v>86400</v>
      </c>
      <c r="CK42" s="38"/>
      <c r="CL42" s="38"/>
      <c r="CM42" s="38"/>
      <c r="CN42" s="38"/>
      <c r="CO42" s="38"/>
      <c r="CP42" s="38"/>
      <c r="CQ42" s="38"/>
      <c r="CR42" s="38"/>
      <c r="CS42" s="38"/>
      <c r="CT42" s="38"/>
      <c r="CU42" s="38"/>
      <c r="CV42" s="38"/>
      <c r="CW42" s="38"/>
      <c r="CX42" s="38"/>
      <c r="CY42" s="38"/>
      <c r="CZ42" s="38"/>
      <c r="DA42" s="38"/>
      <c r="DB42" s="45">
        <f t="shared" si="103"/>
        <v>25920</v>
      </c>
      <c r="DC42" s="45"/>
      <c r="DD42" s="46">
        <f t="shared" si="25"/>
        <v>112320</v>
      </c>
      <c r="DE42" s="41">
        <f t="shared" si="99"/>
        <v>0</v>
      </c>
      <c r="DF42" s="41">
        <f t="shared" si="27"/>
        <v>48142.406543147481</v>
      </c>
      <c r="DG42" s="47"/>
      <c r="DH42" s="47"/>
      <c r="DI42" s="47"/>
      <c r="DJ42" s="47"/>
      <c r="DK42" s="47">
        <f t="shared" si="55"/>
        <v>0</v>
      </c>
      <c r="DL42" s="47">
        <f t="shared" si="56"/>
        <v>0</v>
      </c>
      <c r="DM42" s="47">
        <f t="shared" si="57"/>
        <v>0</v>
      </c>
      <c r="DN42" s="47">
        <f t="shared" si="58"/>
        <v>0</v>
      </c>
      <c r="DO42" s="47">
        <f t="shared" si="59"/>
        <v>0</v>
      </c>
      <c r="DP42" s="47">
        <f t="shared" si="60"/>
        <v>0</v>
      </c>
      <c r="DQ42" s="47">
        <f t="shared" si="61"/>
        <v>0</v>
      </c>
      <c r="DR42" s="47">
        <f t="shared" si="62"/>
        <v>0</v>
      </c>
      <c r="DS42" s="47">
        <f t="shared" si="100"/>
        <v>0</v>
      </c>
      <c r="DT42" s="47">
        <f t="shared" si="64"/>
        <v>0</v>
      </c>
      <c r="DU42" s="47">
        <f t="shared" si="65"/>
        <v>0</v>
      </c>
      <c r="DV42" s="47">
        <f t="shared" si="66"/>
        <v>0</v>
      </c>
      <c r="DW42" s="47">
        <f t="shared" si="67"/>
        <v>0</v>
      </c>
      <c r="DX42" s="47">
        <f t="shared" si="101"/>
        <v>14442.721962944244</v>
      </c>
      <c r="DY42" s="92">
        <f t="shared" si="29"/>
        <v>62585.128506091729</v>
      </c>
    </row>
    <row r="43" spans="2:129" s="3" customFormat="1" ht="12.75" x14ac:dyDescent="0.2">
      <c r="B43" s="12">
        <f t="shared" si="30"/>
        <v>18</v>
      </c>
      <c r="C43" s="13">
        <f t="shared" si="31"/>
        <v>0.53836113955031628</v>
      </c>
      <c r="D43" s="82">
        <f>IF($B43=F$20,'Construction Costs_2022'!$K$22+'Construction Costs_2022'!$K$7,0)</f>
        <v>0</v>
      </c>
      <c r="E43" s="38">
        <f t="shared" si="32"/>
        <v>28800</v>
      </c>
      <c r="F43" s="38"/>
      <c r="G43" s="45"/>
      <c r="H43" s="46">
        <f t="shared" si="10"/>
        <v>28800</v>
      </c>
      <c r="I43" s="41">
        <f t="shared" si="11"/>
        <v>0</v>
      </c>
      <c r="J43" s="41">
        <f t="shared" si="11"/>
        <v>15504.800819049109</v>
      </c>
      <c r="K43" s="47">
        <f t="shared" si="11"/>
        <v>0</v>
      </c>
      <c r="L43" s="47">
        <f t="shared" si="11"/>
        <v>0</v>
      </c>
      <c r="M43" s="92">
        <f t="shared" si="33"/>
        <v>15504.800819049109</v>
      </c>
      <c r="N43" s="91">
        <f>IF($B43=P$20,'Construction Costs_2022'!$K$43+'Construction Costs_2022'!$K$7,0)</f>
        <v>0</v>
      </c>
      <c r="O43" s="38">
        <f t="shared" si="34"/>
        <v>43200</v>
      </c>
      <c r="P43" s="38"/>
      <c r="Q43" s="45"/>
      <c r="R43" s="46">
        <f t="shared" si="35"/>
        <v>43200</v>
      </c>
      <c r="S43" s="41">
        <f t="shared" si="105"/>
        <v>0</v>
      </c>
      <c r="T43" s="41">
        <f t="shared" si="105"/>
        <v>23257.201228573664</v>
      </c>
      <c r="U43" s="47">
        <f t="shared" si="104"/>
        <v>0</v>
      </c>
      <c r="V43" s="47">
        <f t="shared" si="106"/>
        <v>0</v>
      </c>
      <c r="W43" s="92">
        <f t="shared" si="36"/>
        <v>23257.201228573664</v>
      </c>
      <c r="X43" s="82">
        <f>IF($B43=AP$20,'OBC Cost _Van Oord 2022'!$E$30,0)</f>
        <v>0</v>
      </c>
      <c r="Y43" s="38">
        <f t="shared" si="37"/>
        <v>0</v>
      </c>
      <c r="Z43" s="38"/>
      <c r="AA43" s="38"/>
      <c r="AB43" s="38"/>
      <c r="AC43" s="38"/>
      <c r="AD43" s="38"/>
      <c r="AE43" s="38"/>
      <c r="AF43" s="38"/>
      <c r="AG43" s="38"/>
      <c r="AH43" s="38"/>
      <c r="AI43" s="38"/>
      <c r="AJ43" s="38"/>
      <c r="AK43" s="38"/>
      <c r="AL43" s="38"/>
      <c r="AM43" s="38"/>
      <c r="AN43" s="38"/>
      <c r="AO43" s="38"/>
      <c r="AP43" s="38"/>
      <c r="AQ43" s="45">
        <f t="shared" si="102"/>
        <v>0</v>
      </c>
      <c r="AR43" s="45"/>
      <c r="AS43" s="46">
        <f t="shared" si="13"/>
        <v>0</v>
      </c>
      <c r="AT43" s="41">
        <f t="shared" si="14"/>
        <v>0</v>
      </c>
      <c r="AU43" s="41">
        <f t="shared" si="15"/>
        <v>0</v>
      </c>
      <c r="AV43" s="47"/>
      <c r="AW43" s="47"/>
      <c r="AX43" s="47"/>
      <c r="AY43" s="47"/>
      <c r="AZ43" s="47">
        <f t="shared" si="83"/>
        <v>0</v>
      </c>
      <c r="BA43" s="47">
        <f t="shared" si="84"/>
        <v>0</v>
      </c>
      <c r="BB43" s="47">
        <f t="shared" si="85"/>
        <v>0</v>
      </c>
      <c r="BC43" s="47">
        <f t="shared" si="86"/>
        <v>0</v>
      </c>
      <c r="BD43" s="47">
        <f t="shared" si="87"/>
        <v>0</v>
      </c>
      <c r="BE43" s="47">
        <f t="shared" si="88"/>
        <v>0</v>
      </c>
      <c r="BF43" s="47">
        <f t="shared" si="89"/>
        <v>0</v>
      </c>
      <c r="BG43" s="47">
        <f t="shared" si="90"/>
        <v>0</v>
      </c>
      <c r="BH43" s="47">
        <f t="shared" si="95"/>
        <v>0</v>
      </c>
      <c r="BI43" s="47">
        <f t="shared" si="91"/>
        <v>0</v>
      </c>
      <c r="BJ43" s="47">
        <f t="shared" si="92"/>
        <v>0</v>
      </c>
      <c r="BK43" s="47">
        <f t="shared" si="93"/>
        <v>0</v>
      </c>
      <c r="BL43" s="47">
        <f t="shared" si="94"/>
        <v>0</v>
      </c>
      <c r="BM43" s="47">
        <f t="shared" si="96"/>
        <v>0</v>
      </c>
      <c r="BN43" s="92">
        <f t="shared" si="17"/>
        <v>0</v>
      </c>
      <c r="BO43" s="82">
        <f>IF($B43=BQ$20,'Construction Costs_2022'!$K$84+'Construction Costs_2022'!$K$7,0)</f>
        <v>0</v>
      </c>
      <c r="BP43" s="38">
        <f t="shared" si="18"/>
        <v>0</v>
      </c>
      <c r="BQ43" s="38"/>
      <c r="BR43" s="45"/>
      <c r="BS43" s="46">
        <f t="shared" si="97"/>
        <v>0</v>
      </c>
      <c r="BT43" s="41">
        <f t="shared" si="20"/>
        <v>0</v>
      </c>
      <c r="BU43" s="41">
        <f t="shared" si="20"/>
        <v>0</v>
      </c>
      <c r="BV43" s="47">
        <f t="shared" si="20"/>
        <v>0</v>
      </c>
      <c r="BW43" s="47">
        <f t="shared" si="20"/>
        <v>0</v>
      </c>
      <c r="BX43" s="92">
        <f t="shared" si="52"/>
        <v>0</v>
      </c>
      <c r="BY43" s="82">
        <f>IF($B43=CA$20,'Construction Costs_2022'!$K$104+'Construction Costs_2022'!$K$7,0)</f>
        <v>0</v>
      </c>
      <c r="BZ43" s="38">
        <f t="shared" si="21"/>
        <v>0</v>
      </c>
      <c r="CA43" s="38"/>
      <c r="CB43" s="45"/>
      <c r="CC43" s="46">
        <f t="shared" si="98"/>
        <v>0</v>
      </c>
      <c r="CD43" s="41">
        <f t="shared" si="23"/>
        <v>0</v>
      </c>
      <c r="CE43" s="41">
        <f t="shared" si="23"/>
        <v>0</v>
      </c>
      <c r="CF43" s="47">
        <f t="shared" si="23"/>
        <v>0</v>
      </c>
      <c r="CG43" s="47">
        <f t="shared" si="23"/>
        <v>0</v>
      </c>
      <c r="CH43" s="92">
        <f t="shared" si="53"/>
        <v>0</v>
      </c>
      <c r="CI43" s="82">
        <f>IF($B43=DA$20,'OBC Cost _Van Oord 2022'!$E$30,0)</f>
        <v>0</v>
      </c>
      <c r="CJ43" s="38">
        <f t="shared" si="54"/>
        <v>0</v>
      </c>
      <c r="CK43" s="38"/>
      <c r="CL43" s="38"/>
      <c r="CM43" s="38"/>
      <c r="CN43" s="38"/>
      <c r="CO43" s="38"/>
      <c r="CP43" s="38"/>
      <c r="CQ43" s="38"/>
      <c r="CR43" s="38"/>
      <c r="CS43" s="38"/>
      <c r="CT43" s="38"/>
      <c r="CU43" s="38"/>
      <c r="CV43" s="38"/>
      <c r="CW43" s="38"/>
      <c r="CX43" s="38"/>
      <c r="CY43" s="38"/>
      <c r="CZ43" s="38"/>
      <c r="DA43" s="38"/>
      <c r="DB43" s="45">
        <f t="shared" si="103"/>
        <v>0</v>
      </c>
      <c r="DC43" s="45"/>
      <c r="DD43" s="46">
        <f t="shared" si="25"/>
        <v>0</v>
      </c>
      <c r="DE43" s="41">
        <f t="shared" si="99"/>
        <v>0</v>
      </c>
      <c r="DF43" s="41">
        <f t="shared" si="27"/>
        <v>0</v>
      </c>
      <c r="DG43" s="47"/>
      <c r="DH43" s="47"/>
      <c r="DI43" s="47"/>
      <c r="DJ43" s="47"/>
      <c r="DK43" s="47">
        <f t="shared" si="55"/>
        <v>0</v>
      </c>
      <c r="DL43" s="47">
        <f t="shared" si="56"/>
        <v>0</v>
      </c>
      <c r="DM43" s="47">
        <f t="shared" si="57"/>
        <v>0</v>
      </c>
      <c r="DN43" s="47">
        <f t="shared" si="58"/>
        <v>0</v>
      </c>
      <c r="DO43" s="47">
        <f t="shared" si="59"/>
        <v>0</v>
      </c>
      <c r="DP43" s="47">
        <f t="shared" si="60"/>
        <v>0</v>
      </c>
      <c r="DQ43" s="47">
        <f t="shared" si="61"/>
        <v>0</v>
      </c>
      <c r="DR43" s="47">
        <f t="shared" si="62"/>
        <v>0</v>
      </c>
      <c r="DS43" s="47">
        <f t="shared" si="100"/>
        <v>0</v>
      </c>
      <c r="DT43" s="47">
        <f t="shared" si="64"/>
        <v>0</v>
      </c>
      <c r="DU43" s="47">
        <f t="shared" si="65"/>
        <v>0</v>
      </c>
      <c r="DV43" s="47">
        <f t="shared" si="66"/>
        <v>0</v>
      </c>
      <c r="DW43" s="47">
        <f t="shared" si="67"/>
        <v>0</v>
      </c>
      <c r="DX43" s="47">
        <f t="shared" si="101"/>
        <v>0</v>
      </c>
      <c r="DY43" s="92">
        <f t="shared" si="29"/>
        <v>0</v>
      </c>
    </row>
    <row r="44" spans="2:129" s="3" customFormat="1" ht="12.75" x14ac:dyDescent="0.2">
      <c r="B44" s="12">
        <f t="shared" si="30"/>
        <v>19</v>
      </c>
      <c r="C44" s="13">
        <f t="shared" si="31"/>
        <v>0.520155690386779</v>
      </c>
      <c r="D44" s="82">
        <f>IF($B44=F$20,'Construction Costs_2022'!$K$22+'Construction Costs_2022'!$K$7,0)</f>
        <v>0</v>
      </c>
      <c r="E44" s="38">
        <f t="shared" si="32"/>
        <v>28800</v>
      </c>
      <c r="F44" s="38"/>
      <c r="G44" s="45"/>
      <c r="H44" s="46">
        <f t="shared" si="10"/>
        <v>28800</v>
      </c>
      <c r="I44" s="41">
        <f t="shared" si="11"/>
        <v>0</v>
      </c>
      <c r="J44" s="41">
        <f t="shared" si="11"/>
        <v>14980.483883139235</v>
      </c>
      <c r="K44" s="47">
        <f t="shared" si="11"/>
        <v>0</v>
      </c>
      <c r="L44" s="47">
        <f t="shared" si="11"/>
        <v>0</v>
      </c>
      <c r="M44" s="92">
        <f t="shared" si="33"/>
        <v>14980.483883139235</v>
      </c>
      <c r="N44" s="91">
        <f>IF($B44=P$20,'Construction Costs_2022'!$K$43+'Construction Costs_2022'!$K$7,0)</f>
        <v>0</v>
      </c>
      <c r="O44" s="38">
        <f t="shared" si="34"/>
        <v>43200</v>
      </c>
      <c r="P44" s="38"/>
      <c r="Q44" s="45"/>
      <c r="R44" s="46">
        <f t="shared" si="35"/>
        <v>43200</v>
      </c>
      <c r="S44" s="41">
        <f t="shared" si="105"/>
        <v>0</v>
      </c>
      <c r="T44" s="41">
        <f t="shared" si="105"/>
        <v>22470.725824708854</v>
      </c>
      <c r="U44" s="47">
        <f t="shared" si="104"/>
        <v>0</v>
      </c>
      <c r="V44" s="47">
        <f t="shared" si="106"/>
        <v>0</v>
      </c>
      <c r="W44" s="92">
        <f t="shared" si="36"/>
        <v>22470.725824708854</v>
      </c>
      <c r="X44" s="82">
        <f>IF($B44=AP$20,'OBC Cost _Van Oord 2022'!$E$30,0)</f>
        <v>0</v>
      </c>
      <c r="Y44" s="38">
        <f t="shared" si="37"/>
        <v>0</v>
      </c>
      <c r="Z44" s="38"/>
      <c r="AA44" s="38"/>
      <c r="AB44" s="38"/>
      <c r="AC44" s="38"/>
      <c r="AD44" s="38"/>
      <c r="AE44" s="38"/>
      <c r="AF44" s="38"/>
      <c r="AG44" s="38"/>
      <c r="AH44" s="38"/>
      <c r="AI44" s="38"/>
      <c r="AJ44" s="38"/>
      <c r="AK44" s="38"/>
      <c r="AL44" s="38"/>
      <c r="AM44" s="38"/>
      <c r="AN44" s="38"/>
      <c r="AO44" s="38"/>
      <c r="AP44" s="38"/>
      <c r="AQ44" s="45">
        <f t="shared" si="102"/>
        <v>0</v>
      </c>
      <c r="AR44" s="45"/>
      <c r="AS44" s="46">
        <f t="shared" si="13"/>
        <v>0</v>
      </c>
      <c r="AT44" s="41">
        <f t="shared" si="14"/>
        <v>0</v>
      </c>
      <c r="AU44" s="41">
        <f t="shared" si="15"/>
        <v>0</v>
      </c>
      <c r="AV44" s="47"/>
      <c r="AW44" s="47"/>
      <c r="AX44" s="47"/>
      <c r="AY44" s="47"/>
      <c r="AZ44" s="47">
        <f t="shared" si="83"/>
        <v>0</v>
      </c>
      <c r="BA44" s="47">
        <f t="shared" si="84"/>
        <v>0</v>
      </c>
      <c r="BB44" s="47">
        <f t="shared" si="85"/>
        <v>0</v>
      </c>
      <c r="BC44" s="47">
        <f t="shared" si="86"/>
        <v>0</v>
      </c>
      <c r="BD44" s="47">
        <f t="shared" si="87"/>
        <v>0</v>
      </c>
      <c r="BE44" s="47">
        <f t="shared" si="88"/>
        <v>0</v>
      </c>
      <c r="BF44" s="47">
        <f t="shared" si="89"/>
        <v>0</v>
      </c>
      <c r="BG44" s="47">
        <f t="shared" si="90"/>
        <v>0</v>
      </c>
      <c r="BH44" s="47">
        <f t="shared" si="95"/>
        <v>0</v>
      </c>
      <c r="BI44" s="47">
        <f t="shared" si="91"/>
        <v>0</v>
      </c>
      <c r="BJ44" s="47">
        <f t="shared" si="92"/>
        <v>0</v>
      </c>
      <c r="BK44" s="47">
        <f t="shared" si="93"/>
        <v>0</v>
      </c>
      <c r="BL44" s="47">
        <f t="shared" si="94"/>
        <v>0</v>
      </c>
      <c r="BM44" s="47">
        <f t="shared" si="96"/>
        <v>0</v>
      </c>
      <c r="BN44" s="92">
        <f t="shared" si="17"/>
        <v>0</v>
      </c>
      <c r="BO44" s="82">
        <f>IF($B44=BQ$20,'Construction Costs_2022'!$K$84+'Construction Costs_2022'!$K$7,0)</f>
        <v>0</v>
      </c>
      <c r="BP44" s="38">
        <f t="shared" si="18"/>
        <v>0</v>
      </c>
      <c r="BQ44" s="38"/>
      <c r="BR44" s="45"/>
      <c r="BS44" s="46">
        <f t="shared" si="97"/>
        <v>0</v>
      </c>
      <c r="BT44" s="41">
        <f t="shared" si="20"/>
        <v>0</v>
      </c>
      <c r="BU44" s="41">
        <f t="shared" si="20"/>
        <v>0</v>
      </c>
      <c r="BV44" s="47">
        <f t="shared" si="20"/>
        <v>0</v>
      </c>
      <c r="BW44" s="47">
        <f t="shared" si="20"/>
        <v>0</v>
      </c>
      <c r="BX44" s="92">
        <f t="shared" si="52"/>
        <v>0</v>
      </c>
      <c r="BY44" s="82">
        <f>IF($B44=CA$20,'Construction Costs_2022'!$K$104+'Construction Costs_2022'!$K$7,0)</f>
        <v>0</v>
      </c>
      <c r="BZ44" s="38">
        <f t="shared" si="21"/>
        <v>0</v>
      </c>
      <c r="CA44" s="38"/>
      <c r="CB44" s="45"/>
      <c r="CC44" s="46">
        <f t="shared" si="98"/>
        <v>0</v>
      </c>
      <c r="CD44" s="41">
        <f t="shared" si="23"/>
        <v>0</v>
      </c>
      <c r="CE44" s="41">
        <f t="shared" si="23"/>
        <v>0</v>
      </c>
      <c r="CF44" s="47">
        <f t="shared" si="23"/>
        <v>0</v>
      </c>
      <c r="CG44" s="47">
        <f t="shared" si="23"/>
        <v>0</v>
      </c>
      <c r="CH44" s="92">
        <f t="shared" si="53"/>
        <v>0</v>
      </c>
      <c r="CI44" s="82">
        <f>IF($B44=DA$20,'OBC Cost _Van Oord 2022'!$E$30,0)</f>
        <v>0</v>
      </c>
      <c r="CJ44" s="38">
        <f t="shared" si="54"/>
        <v>0</v>
      </c>
      <c r="CK44" s="38"/>
      <c r="CL44" s="38"/>
      <c r="CM44" s="38"/>
      <c r="CN44" s="38"/>
      <c r="CO44" s="38"/>
      <c r="CP44" s="38"/>
      <c r="CQ44" s="38"/>
      <c r="CR44" s="38"/>
      <c r="CS44" s="38"/>
      <c r="CT44" s="38"/>
      <c r="CU44" s="38"/>
      <c r="CV44" s="38"/>
      <c r="CW44" s="38"/>
      <c r="CX44" s="38"/>
      <c r="CY44" s="38"/>
      <c r="CZ44" s="38"/>
      <c r="DA44" s="38"/>
      <c r="DB44" s="45">
        <f t="shared" si="103"/>
        <v>0</v>
      </c>
      <c r="DC44" s="45"/>
      <c r="DD44" s="46">
        <f t="shared" si="25"/>
        <v>0</v>
      </c>
      <c r="DE44" s="41">
        <f t="shared" si="99"/>
        <v>0</v>
      </c>
      <c r="DF44" s="41">
        <f t="shared" si="27"/>
        <v>0</v>
      </c>
      <c r="DG44" s="47"/>
      <c r="DH44" s="47"/>
      <c r="DI44" s="47"/>
      <c r="DJ44" s="47"/>
      <c r="DK44" s="47">
        <f t="shared" si="55"/>
        <v>0</v>
      </c>
      <c r="DL44" s="47">
        <f t="shared" si="56"/>
        <v>0</v>
      </c>
      <c r="DM44" s="47">
        <f t="shared" si="57"/>
        <v>0</v>
      </c>
      <c r="DN44" s="47">
        <f t="shared" si="58"/>
        <v>0</v>
      </c>
      <c r="DO44" s="47">
        <f t="shared" si="59"/>
        <v>0</v>
      </c>
      <c r="DP44" s="47">
        <f t="shared" si="60"/>
        <v>0</v>
      </c>
      <c r="DQ44" s="47">
        <f t="shared" si="61"/>
        <v>0</v>
      </c>
      <c r="DR44" s="47">
        <f t="shared" si="62"/>
        <v>0</v>
      </c>
      <c r="DS44" s="47">
        <f t="shared" si="100"/>
        <v>0</v>
      </c>
      <c r="DT44" s="47">
        <f t="shared" si="64"/>
        <v>0</v>
      </c>
      <c r="DU44" s="47">
        <f t="shared" si="65"/>
        <v>0</v>
      </c>
      <c r="DV44" s="47">
        <f t="shared" si="66"/>
        <v>0</v>
      </c>
      <c r="DW44" s="47">
        <f t="shared" si="67"/>
        <v>0</v>
      </c>
      <c r="DX44" s="47">
        <f t="shared" si="101"/>
        <v>0</v>
      </c>
      <c r="DY44" s="92">
        <f t="shared" si="29"/>
        <v>0</v>
      </c>
    </row>
    <row r="45" spans="2:129" s="3" customFormat="1" ht="13.5" customHeight="1" x14ac:dyDescent="0.2">
      <c r="B45" s="12">
        <f t="shared" si="30"/>
        <v>20</v>
      </c>
      <c r="C45" s="13">
        <f t="shared" si="31"/>
        <v>0.50256588443167061</v>
      </c>
      <c r="D45" s="82">
        <f>IF($B45=F$20,'Construction Costs_2022'!$K$22+'Construction Costs_2022'!$K$7,0)</f>
        <v>0</v>
      </c>
      <c r="E45" s="38">
        <f t="shared" si="32"/>
        <v>28800</v>
      </c>
      <c r="F45" s="38"/>
      <c r="G45" s="45"/>
      <c r="H45" s="46">
        <f t="shared" si="10"/>
        <v>28800</v>
      </c>
      <c r="I45" s="41">
        <f t="shared" si="11"/>
        <v>0</v>
      </c>
      <c r="J45" s="41">
        <f t="shared" si="11"/>
        <v>14473.897471632114</v>
      </c>
      <c r="K45" s="47">
        <f t="shared" si="11"/>
        <v>0</v>
      </c>
      <c r="L45" s="47">
        <f t="shared" si="11"/>
        <v>0</v>
      </c>
      <c r="M45" s="92">
        <f t="shared" si="33"/>
        <v>14473.897471632114</v>
      </c>
      <c r="N45" s="91">
        <f>IF($B45=P$20,'Construction Costs_2022'!$K$43+'Construction Costs_2022'!$K$7,0)</f>
        <v>0</v>
      </c>
      <c r="O45" s="38">
        <f t="shared" si="34"/>
        <v>43200</v>
      </c>
      <c r="P45" s="38"/>
      <c r="Q45" s="45"/>
      <c r="R45" s="46">
        <f t="shared" si="35"/>
        <v>43200</v>
      </c>
      <c r="S45" s="41">
        <f t="shared" si="105"/>
        <v>0</v>
      </c>
      <c r="T45" s="41">
        <f t="shared" si="105"/>
        <v>21710.846207448169</v>
      </c>
      <c r="U45" s="47">
        <f t="shared" si="104"/>
        <v>0</v>
      </c>
      <c r="V45" s="47">
        <f t="shared" si="106"/>
        <v>0</v>
      </c>
      <c r="W45" s="92">
        <f t="shared" si="36"/>
        <v>21710.846207448169</v>
      </c>
      <c r="X45" s="82">
        <f>IF($B45=AP$20,'OBC Cost _Van Oord 2022'!$E$30,0)</f>
        <v>0</v>
      </c>
      <c r="Y45" s="38">
        <f t="shared" si="37"/>
        <v>0</v>
      </c>
      <c r="Z45" s="38"/>
      <c r="AA45" s="38"/>
      <c r="AB45" s="38"/>
      <c r="AC45" s="38"/>
      <c r="AD45" s="38"/>
      <c r="AE45" s="38"/>
      <c r="AF45" s="38"/>
      <c r="AG45" s="38"/>
      <c r="AH45" s="38"/>
      <c r="AI45" s="38"/>
      <c r="AJ45" s="38"/>
      <c r="AK45" s="38"/>
      <c r="AL45" s="38"/>
      <c r="AM45" s="38"/>
      <c r="AN45" s="38"/>
      <c r="AO45" s="38"/>
      <c r="AP45" s="38"/>
      <c r="AQ45" s="45">
        <f t="shared" si="102"/>
        <v>0</v>
      </c>
      <c r="AR45" s="45"/>
      <c r="AS45" s="46">
        <f t="shared" si="13"/>
        <v>0</v>
      </c>
      <c r="AT45" s="41">
        <f t="shared" si="14"/>
        <v>0</v>
      </c>
      <c r="AU45" s="41">
        <f t="shared" si="15"/>
        <v>0</v>
      </c>
      <c r="AV45" s="47"/>
      <c r="AW45" s="47"/>
      <c r="AX45" s="47"/>
      <c r="AY45" s="47"/>
      <c r="AZ45" s="47">
        <f t="shared" si="83"/>
        <v>0</v>
      </c>
      <c r="BA45" s="47">
        <f t="shared" si="84"/>
        <v>0</v>
      </c>
      <c r="BB45" s="47">
        <f t="shared" si="85"/>
        <v>0</v>
      </c>
      <c r="BC45" s="47">
        <f t="shared" si="86"/>
        <v>0</v>
      </c>
      <c r="BD45" s="47">
        <f t="shared" si="87"/>
        <v>0</v>
      </c>
      <c r="BE45" s="47">
        <f t="shared" si="88"/>
        <v>0</v>
      </c>
      <c r="BF45" s="47">
        <f t="shared" si="89"/>
        <v>0</v>
      </c>
      <c r="BG45" s="47">
        <f t="shared" si="90"/>
        <v>0</v>
      </c>
      <c r="BH45" s="47">
        <f t="shared" si="95"/>
        <v>0</v>
      </c>
      <c r="BI45" s="47">
        <f t="shared" si="91"/>
        <v>0</v>
      </c>
      <c r="BJ45" s="47">
        <f t="shared" si="92"/>
        <v>0</v>
      </c>
      <c r="BK45" s="47">
        <f t="shared" si="93"/>
        <v>0</v>
      </c>
      <c r="BL45" s="47">
        <f t="shared" si="94"/>
        <v>0</v>
      </c>
      <c r="BM45" s="47">
        <f t="shared" si="96"/>
        <v>0</v>
      </c>
      <c r="BN45" s="92">
        <f t="shared" si="17"/>
        <v>0</v>
      </c>
      <c r="BO45" s="82">
        <f>IF($B45=BQ$20,'Construction Costs_2022'!$K$84+'Construction Costs_2022'!$K$7,0)</f>
        <v>0</v>
      </c>
      <c r="BP45" s="38">
        <f t="shared" si="18"/>
        <v>0</v>
      </c>
      <c r="BQ45" s="38"/>
      <c r="BR45" s="45"/>
      <c r="BS45" s="46">
        <f t="shared" si="97"/>
        <v>0</v>
      </c>
      <c r="BT45" s="41">
        <f t="shared" si="20"/>
        <v>0</v>
      </c>
      <c r="BU45" s="41">
        <f t="shared" si="20"/>
        <v>0</v>
      </c>
      <c r="BV45" s="47">
        <f t="shared" si="20"/>
        <v>0</v>
      </c>
      <c r="BW45" s="47">
        <f t="shared" si="20"/>
        <v>0</v>
      </c>
      <c r="BX45" s="92">
        <f t="shared" si="52"/>
        <v>0</v>
      </c>
      <c r="BY45" s="82">
        <f>IF($B45=CA$20,'Construction Costs_2022'!$K$104+'Construction Costs_2022'!$K$7,0)</f>
        <v>0</v>
      </c>
      <c r="BZ45" s="38">
        <f t="shared" si="21"/>
        <v>0</v>
      </c>
      <c r="CA45" s="38"/>
      <c r="CB45" s="45"/>
      <c r="CC45" s="46">
        <f t="shared" si="98"/>
        <v>0</v>
      </c>
      <c r="CD45" s="41">
        <f t="shared" si="23"/>
        <v>0</v>
      </c>
      <c r="CE45" s="41">
        <f t="shared" si="23"/>
        <v>0</v>
      </c>
      <c r="CF45" s="47">
        <f t="shared" si="23"/>
        <v>0</v>
      </c>
      <c r="CG45" s="47">
        <f t="shared" si="23"/>
        <v>0</v>
      </c>
      <c r="CH45" s="92">
        <f t="shared" si="53"/>
        <v>0</v>
      </c>
      <c r="CI45" s="82">
        <f>IF($B45=DA$20,'OBC Cost _Van Oord 2022'!$E$30,0)</f>
        <v>0</v>
      </c>
      <c r="CJ45" s="38">
        <f t="shared" si="54"/>
        <v>0</v>
      </c>
      <c r="CK45" s="38"/>
      <c r="CL45" s="38"/>
      <c r="CM45" s="38"/>
      <c r="CN45" s="38"/>
      <c r="CO45" s="38"/>
      <c r="CP45" s="38"/>
      <c r="CQ45" s="38"/>
      <c r="CR45" s="38"/>
      <c r="CS45" s="38"/>
      <c r="CT45" s="38"/>
      <c r="CU45" s="38"/>
      <c r="CV45" s="38"/>
      <c r="CW45" s="38"/>
      <c r="CX45" s="38"/>
      <c r="CY45" s="38"/>
      <c r="CZ45" s="38"/>
      <c r="DA45" s="38"/>
      <c r="DB45" s="45">
        <f t="shared" si="103"/>
        <v>0</v>
      </c>
      <c r="DC45" s="45"/>
      <c r="DD45" s="46">
        <f t="shared" si="25"/>
        <v>0</v>
      </c>
      <c r="DE45" s="41">
        <f t="shared" si="99"/>
        <v>0</v>
      </c>
      <c r="DF45" s="41">
        <f t="shared" si="27"/>
        <v>0</v>
      </c>
      <c r="DG45" s="47"/>
      <c r="DH45" s="47"/>
      <c r="DI45" s="47"/>
      <c r="DJ45" s="47"/>
      <c r="DK45" s="47">
        <f t="shared" si="55"/>
        <v>0</v>
      </c>
      <c r="DL45" s="47">
        <f t="shared" si="56"/>
        <v>0</v>
      </c>
      <c r="DM45" s="47">
        <f t="shared" si="57"/>
        <v>0</v>
      </c>
      <c r="DN45" s="47">
        <f t="shared" si="58"/>
        <v>0</v>
      </c>
      <c r="DO45" s="47">
        <f t="shared" si="59"/>
        <v>0</v>
      </c>
      <c r="DP45" s="47">
        <f t="shared" si="60"/>
        <v>0</v>
      </c>
      <c r="DQ45" s="47">
        <f t="shared" si="61"/>
        <v>0</v>
      </c>
      <c r="DR45" s="47">
        <f t="shared" si="62"/>
        <v>0</v>
      </c>
      <c r="DS45" s="47">
        <f t="shared" si="100"/>
        <v>0</v>
      </c>
      <c r="DT45" s="47">
        <f t="shared" si="64"/>
        <v>0</v>
      </c>
      <c r="DU45" s="47">
        <f t="shared" si="65"/>
        <v>0</v>
      </c>
      <c r="DV45" s="47">
        <f t="shared" si="66"/>
        <v>0</v>
      </c>
      <c r="DW45" s="47">
        <f t="shared" si="67"/>
        <v>0</v>
      </c>
      <c r="DX45" s="47">
        <f t="shared" si="101"/>
        <v>0</v>
      </c>
      <c r="DY45" s="92">
        <f t="shared" si="29"/>
        <v>0</v>
      </c>
    </row>
    <row r="46" spans="2:129" s="3" customFormat="1" ht="13.5" customHeight="1" x14ac:dyDescent="0.2">
      <c r="B46" s="12">
        <f t="shared" si="30"/>
        <v>21</v>
      </c>
      <c r="C46" s="13">
        <f t="shared" si="31"/>
        <v>0.48557090283253201</v>
      </c>
      <c r="D46" s="82">
        <f>IF($B46=F$20,'Construction Costs_2022'!$K$22+'Construction Costs_2022'!$K$7,0)</f>
        <v>0</v>
      </c>
      <c r="E46" s="38">
        <f t="shared" si="32"/>
        <v>28800</v>
      </c>
      <c r="F46" s="38"/>
      <c r="G46" s="45"/>
      <c r="H46" s="46">
        <f t="shared" si="10"/>
        <v>28800</v>
      </c>
      <c r="I46" s="41">
        <f t="shared" si="11"/>
        <v>0</v>
      </c>
      <c r="J46" s="41">
        <f t="shared" si="11"/>
        <v>13984.442001576923</v>
      </c>
      <c r="K46" s="47">
        <f t="shared" si="11"/>
        <v>0</v>
      </c>
      <c r="L46" s="47">
        <f t="shared" si="11"/>
        <v>0</v>
      </c>
      <c r="M46" s="92">
        <f t="shared" si="33"/>
        <v>13984.442001576923</v>
      </c>
      <c r="N46" s="91">
        <f>IF($B46=P$20,'Construction Costs_2022'!$K$43+'Construction Costs_2022'!$K$7,0)</f>
        <v>0</v>
      </c>
      <c r="O46" s="38">
        <f t="shared" si="34"/>
        <v>43200</v>
      </c>
      <c r="P46" s="38"/>
      <c r="Q46" s="45"/>
      <c r="R46" s="46">
        <f t="shared" si="35"/>
        <v>43200</v>
      </c>
      <c r="S46" s="41">
        <f t="shared" si="105"/>
        <v>0</v>
      </c>
      <c r="T46" s="41">
        <f t="shared" si="105"/>
        <v>20976.663002365382</v>
      </c>
      <c r="U46" s="47">
        <f t="shared" si="104"/>
        <v>0</v>
      </c>
      <c r="V46" s="47">
        <f t="shared" si="106"/>
        <v>0</v>
      </c>
      <c r="W46" s="92">
        <f t="shared" si="36"/>
        <v>20976.663002365382</v>
      </c>
      <c r="X46" s="82">
        <f>IF($B46=AP$20,'OBC Cost _Van Oord 2022'!$E$30,0)</f>
        <v>0</v>
      </c>
      <c r="Y46" s="38">
        <f t="shared" si="37"/>
        <v>0</v>
      </c>
      <c r="Z46" s="38"/>
      <c r="AA46" s="38"/>
      <c r="AB46" s="38"/>
      <c r="AC46" s="38"/>
      <c r="AD46" s="38"/>
      <c r="AE46" s="38"/>
      <c r="AF46" s="38"/>
      <c r="AG46" s="38"/>
      <c r="AH46" s="38"/>
      <c r="AI46" s="38"/>
      <c r="AJ46" s="38"/>
      <c r="AK46" s="38"/>
      <c r="AL46" s="38"/>
      <c r="AM46" s="38"/>
      <c r="AN46" s="38"/>
      <c r="AO46" s="38"/>
      <c r="AP46" s="38"/>
      <c r="AQ46" s="45">
        <f t="shared" si="102"/>
        <v>0</v>
      </c>
      <c r="AR46" s="45"/>
      <c r="AS46" s="46">
        <f t="shared" si="13"/>
        <v>0</v>
      </c>
      <c r="AT46" s="41">
        <f t="shared" si="14"/>
        <v>0</v>
      </c>
      <c r="AU46" s="41">
        <f t="shared" si="15"/>
        <v>0</v>
      </c>
      <c r="AV46" s="47"/>
      <c r="AW46" s="47"/>
      <c r="AX46" s="47"/>
      <c r="AY46" s="47"/>
      <c r="AZ46" s="47">
        <f t="shared" si="83"/>
        <v>0</v>
      </c>
      <c r="BA46" s="47">
        <f t="shared" si="84"/>
        <v>0</v>
      </c>
      <c r="BB46" s="47">
        <f t="shared" si="85"/>
        <v>0</v>
      </c>
      <c r="BC46" s="47">
        <f t="shared" si="86"/>
        <v>0</v>
      </c>
      <c r="BD46" s="47">
        <f t="shared" si="87"/>
        <v>0</v>
      </c>
      <c r="BE46" s="47">
        <f t="shared" si="88"/>
        <v>0</v>
      </c>
      <c r="BF46" s="47">
        <f t="shared" si="89"/>
        <v>0</v>
      </c>
      <c r="BG46" s="47">
        <f t="shared" si="90"/>
        <v>0</v>
      </c>
      <c r="BH46" s="47">
        <f t="shared" si="95"/>
        <v>0</v>
      </c>
      <c r="BI46" s="47">
        <f t="shared" si="91"/>
        <v>0</v>
      </c>
      <c r="BJ46" s="47">
        <f t="shared" si="92"/>
        <v>0</v>
      </c>
      <c r="BK46" s="47">
        <f t="shared" si="93"/>
        <v>0</v>
      </c>
      <c r="BL46" s="47">
        <f t="shared" si="94"/>
        <v>0</v>
      </c>
      <c r="BM46" s="47">
        <f t="shared" si="96"/>
        <v>0</v>
      </c>
      <c r="BN46" s="92">
        <f t="shared" si="17"/>
        <v>0</v>
      </c>
      <c r="BO46" s="82">
        <f>IF($B46=BQ$20,'Construction Costs_2022'!$K$84+'Construction Costs_2022'!$K$7,0)</f>
        <v>0</v>
      </c>
      <c r="BP46" s="38">
        <f t="shared" si="18"/>
        <v>0</v>
      </c>
      <c r="BQ46" s="38"/>
      <c r="BR46" s="45"/>
      <c r="BS46" s="46">
        <f t="shared" si="97"/>
        <v>0</v>
      </c>
      <c r="BT46" s="41">
        <f t="shared" si="20"/>
        <v>0</v>
      </c>
      <c r="BU46" s="41">
        <f t="shared" si="20"/>
        <v>0</v>
      </c>
      <c r="BV46" s="47">
        <f t="shared" si="20"/>
        <v>0</v>
      </c>
      <c r="BW46" s="47">
        <f t="shared" si="20"/>
        <v>0</v>
      </c>
      <c r="BX46" s="92">
        <f t="shared" si="52"/>
        <v>0</v>
      </c>
      <c r="BY46" s="82">
        <f>IF($B46=CA$20,'Construction Costs_2022'!$K$104+'Construction Costs_2022'!$K$7,0)</f>
        <v>0</v>
      </c>
      <c r="BZ46" s="38">
        <f t="shared" si="21"/>
        <v>0</v>
      </c>
      <c r="CA46" s="38"/>
      <c r="CB46" s="45"/>
      <c r="CC46" s="46">
        <f t="shared" si="98"/>
        <v>0</v>
      </c>
      <c r="CD46" s="41">
        <f t="shared" si="23"/>
        <v>0</v>
      </c>
      <c r="CE46" s="41">
        <f t="shared" si="23"/>
        <v>0</v>
      </c>
      <c r="CF46" s="47">
        <f t="shared" si="23"/>
        <v>0</v>
      </c>
      <c r="CG46" s="47">
        <f t="shared" si="23"/>
        <v>0</v>
      </c>
      <c r="CH46" s="92">
        <f t="shared" si="53"/>
        <v>0</v>
      </c>
      <c r="CI46" s="82">
        <f>IF($B46=DA$20,'OBC Cost _Van Oord 2022'!$E$30,0)</f>
        <v>0</v>
      </c>
      <c r="CJ46" s="38">
        <f t="shared" si="54"/>
        <v>0</v>
      </c>
      <c r="CK46" s="38"/>
      <c r="CL46" s="38"/>
      <c r="CM46" s="38"/>
      <c r="CN46" s="38"/>
      <c r="CO46" s="38"/>
      <c r="CP46" s="38"/>
      <c r="CQ46" s="38"/>
      <c r="CR46" s="38"/>
      <c r="CS46" s="38"/>
      <c r="CT46" s="38"/>
      <c r="CU46" s="38"/>
      <c r="CV46" s="38"/>
      <c r="CW46" s="38"/>
      <c r="CX46" s="38"/>
      <c r="CY46" s="38"/>
      <c r="CZ46" s="38"/>
      <c r="DA46" s="38"/>
      <c r="DB46" s="45">
        <f t="shared" si="103"/>
        <v>0</v>
      </c>
      <c r="DC46" s="45"/>
      <c r="DD46" s="46">
        <f t="shared" si="25"/>
        <v>0</v>
      </c>
      <c r="DE46" s="41">
        <f t="shared" si="99"/>
        <v>0</v>
      </c>
      <c r="DF46" s="41">
        <f t="shared" si="27"/>
        <v>0</v>
      </c>
      <c r="DG46" s="47"/>
      <c r="DH46" s="47"/>
      <c r="DI46" s="47"/>
      <c r="DJ46" s="47"/>
      <c r="DK46" s="47">
        <f t="shared" si="55"/>
        <v>0</v>
      </c>
      <c r="DL46" s="47">
        <f t="shared" si="56"/>
        <v>0</v>
      </c>
      <c r="DM46" s="47">
        <f t="shared" si="57"/>
        <v>0</v>
      </c>
      <c r="DN46" s="47">
        <f t="shared" si="58"/>
        <v>0</v>
      </c>
      <c r="DO46" s="47">
        <f t="shared" si="59"/>
        <v>0</v>
      </c>
      <c r="DP46" s="47">
        <f t="shared" si="60"/>
        <v>0</v>
      </c>
      <c r="DQ46" s="47">
        <f t="shared" si="61"/>
        <v>0</v>
      </c>
      <c r="DR46" s="47">
        <f t="shared" si="62"/>
        <v>0</v>
      </c>
      <c r="DS46" s="47">
        <f t="shared" si="100"/>
        <v>0</v>
      </c>
      <c r="DT46" s="47">
        <f t="shared" si="64"/>
        <v>0</v>
      </c>
      <c r="DU46" s="47">
        <f t="shared" si="65"/>
        <v>0</v>
      </c>
      <c r="DV46" s="47">
        <f t="shared" si="66"/>
        <v>0</v>
      </c>
      <c r="DW46" s="47">
        <f t="shared" si="67"/>
        <v>0</v>
      </c>
      <c r="DX46" s="47">
        <f t="shared" si="101"/>
        <v>0</v>
      </c>
      <c r="DY46" s="92">
        <f t="shared" si="29"/>
        <v>0</v>
      </c>
    </row>
    <row r="47" spans="2:129" s="3" customFormat="1" ht="12.75" x14ac:dyDescent="0.2">
      <c r="B47" s="12">
        <f t="shared" si="30"/>
        <v>22</v>
      </c>
      <c r="C47" s="13">
        <f t="shared" si="31"/>
        <v>0.46915063075606961</v>
      </c>
      <c r="D47" s="82">
        <f>IF($B47=F$20,'Construction Costs_2022'!$K$22+'Construction Costs_2022'!$K$7,0)</f>
        <v>0</v>
      </c>
      <c r="E47" s="38">
        <f t="shared" si="32"/>
        <v>1301900</v>
      </c>
      <c r="F47" s="38"/>
      <c r="G47" s="45"/>
      <c r="H47" s="46">
        <f t="shared" si="10"/>
        <v>1301900</v>
      </c>
      <c r="I47" s="41">
        <f t="shared" si="11"/>
        <v>0</v>
      </c>
      <c r="J47" s="41">
        <f t="shared" si="11"/>
        <v>610787.206181327</v>
      </c>
      <c r="K47" s="47">
        <f t="shared" si="11"/>
        <v>0</v>
      </c>
      <c r="L47" s="47">
        <f t="shared" si="11"/>
        <v>0</v>
      </c>
      <c r="M47" s="92">
        <f t="shared" si="33"/>
        <v>610787.206181327</v>
      </c>
      <c r="N47" s="91">
        <f>IF($B47=P$20,'Construction Costs_2022'!$K$43+'Construction Costs_2022'!$K$7,0)</f>
        <v>0</v>
      </c>
      <c r="O47" s="38">
        <f t="shared" si="34"/>
        <v>1207840</v>
      </c>
      <c r="P47" s="38"/>
      <c r="Q47" s="45"/>
      <c r="R47" s="46">
        <f t="shared" si="35"/>
        <v>1207840</v>
      </c>
      <c r="S47" s="41">
        <f t="shared" si="105"/>
        <v>0</v>
      </c>
      <c r="T47" s="41">
        <f t="shared" si="105"/>
        <v>566658.89785241114</v>
      </c>
      <c r="U47" s="47">
        <f t="shared" si="104"/>
        <v>0</v>
      </c>
      <c r="V47" s="47">
        <f t="shared" si="106"/>
        <v>0</v>
      </c>
      <c r="W47" s="92">
        <f t="shared" si="36"/>
        <v>566658.89785241114</v>
      </c>
      <c r="X47" s="82">
        <f>IF($B47=AP$20,'OBC Cost _Van Oord 2022'!$E$30,0)</f>
        <v>0</v>
      </c>
      <c r="Y47" s="38">
        <f t="shared" si="37"/>
        <v>919280</v>
      </c>
      <c r="Z47" s="38"/>
      <c r="AA47" s="38"/>
      <c r="AB47" s="38"/>
      <c r="AC47" s="38"/>
      <c r="AD47" s="38"/>
      <c r="AE47" s="38"/>
      <c r="AF47" s="38"/>
      <c r="AG47" s="38"/>
      <c r="AH47" s="38"/>
      <c r="AI47" s="38"/>
      <c r="AJ47" s="38"/>
      <c r="AK47" s="38"/>
      <c r="AL47" s="38"/>
      <c r="AM47" s="38"/>
      <c r="AN47" s="38"/>
      <c r="AO47" s="38"/>
      <c r="AP47" s="38"/>
      <c r="AQ47" s="45">
        <f t="shared" si="102"/>
        <v>239012.80000000002</v>
      </c>
      <c r="AR47" s="45"/>
      <c r="AS47" s="46">
        <f t="shared" si="13"/>
        <v>1158292.8</v>
      </c>
      <c r="AT47" s="41">
        <f t="shared" si="14"/>
        <v>0</v>
      </c>
      <c r="AU47" s="41">
        <f t="shared" si="15"/>
        <v>431280.79184143967</v>
      </c>
      <c r="AV47" s="47"/>
      <c r="AW47" s="47"/>
      <c r="AX47" s="47"/>
      <c r="AY47" s="47"/>
      <c r="AZ47" s="47">
        <f t="shared" si="83"/>
        <v>0</v>
      </c>
      <c r="BA47" s="47">
        <f t="shared" si="84"/>
        <v>0</v>
      </c>
      <c r="BB47" s="47">
        <f t="shared" si="85"/>
        <v>0</v>
      </c>
      <c r="BC47" s="47">
        <f t="shared" si="86"/>
        <v>0</v>
      </c>
      <c r="BD47" s="47">
        <f t="shared" si="87"/>
        <v>0</v>
      </c>
      <c r="BE47" s="47">
        <f t="shared" si="88"/>
        <v>0</v>
      </c>
      <c r="BF47" s="47">
        <f t="shared" si="89"/>
        <v>0</v>
      </c>
      <c r="BG47" s="47">
        <f t="shared" si="90"/>
        <v>0</v>
      </c>
      <c r="BH47" s="47">
        <f t="shared" si="95"/>
        <v>0</v>
      </c>
      <c r="BI47" s="47">
        <f t="shared" si="91"/>
        <v>0</v>
      </c>
      <c r="BJ47" s="47">
        <f t="shared" si="92"/>
        <v>0</v>
      </c>
      <c r="BK47" s="47">
        <f t="shared" si="93"/>
        <v>0</v>
      </c>
      <c r="BL47" s="47">
        <f t="shared" si="94"/>
        <v>0</v>
      </c>
      <c r="BM47" s="47">
        <f t="shared" si="96"/>
        <v>112133.00587877432</v>
      </c>
      <c r="BN47" s="92">
        <f t="shared" si="17"/>
        <v>543413.797720214</v>
      </c>
      <c r="BO47" s="82">
        <f>IF($B47=BQ$20,'Construction Costs_2022'!$K$84+'Construction Costs_2022'!$K$7,0)</f>
        <v>0</v>
      </c>
      <c r="BP47" s="38">
        <f t="shared" si="18"/>
        <v>875260</v>
      </c>
      <c r="BQ47" s="38"/>
      <c r="BR47" s="45"/>
      <c r="BS47" s="46">
        <f t="shared" si="97"/>
        <v>875260</v>
      </c>
      <c r="BT47" s="41">
        <f t="shared" si="20"/>
        <v>0</v>
      </c>
      <c r="BU47" s="41">
        <f t="shared" si="20"/>
        <v>410628.78107555746</v>
      </c>
      <c r="BV47" s="47">
        <f t="shared" si="20"/>
        <v>0</v>
      </c>
      <c r="BW47" s="47">
        <f t="shared" si="20"/>
        <v>0</v>
      </c>
      <c r="BX47" s="92">
        <f t="shared" si="52"/>
        <v>410628.78107555746</v>
      </c>
      <c r="BY47" s="82">
        <f>IF($B47=CA$20,'Construction Costs_2022'!$K$104+'Construction Costs_2022'!$K$7,0)</f>
        <v>0</v>
      </c>
      <c r="BZ47" s="38">
        <f t="shared" si="21"/>
        <v>1004320</v>
      </c>
      <c r="CA47" s="38"/>
      <c r="CB47" s="45"/>
      <c r="CC47" s="46">
        <f t="shared" si="98"/>
        <v>1004320</v>
      </c>
      <c r="CD47" s="41">
        <f t="shared" si="23"/>
        <v>0</v>
      </c>
      <c r="CE47" s="41">
        <f t="shared" si="23"/>
        <v>471177.36148093583</v>
      </c>
      <c r="CF47" s="47">
        <f t="shared" si="23"/>
        <v>0</v>
      </c>
      <c r="CG47" s="47">
        <f t="shared" si="23"/>
        <v>0</v>
      </c>
      <c r="CH47" s="92">
        <f t="shared" si="53"/>
        <v>471177.36148093583</v>
      </c>
      <c r="CI47" s="82">
        <f>IF($B47=DA$20,'OBC Cost _Van Oord 2022'!$E$30,0)</f>
        <v>0</v>
      </c>
      <c r="CJ47" s="38">
        <f t="shared" si="54"/>
        <v>201530</v>
      </c>
      <c r="CK47" s="38"/>
      <c r="CL47" s="38"/>
      <c r="CM47" s="38"/>
      <c r="CN47" s="38"/>
      <c r="CO47" s="38"/>
      <c r="CP47" s="38"/>
      <c r="CQ47" s="38"/>
      <c r="CR47" s="38"/>
      <c r="CS47" s="38"/>
      <c r="CT47" s="38"/>
      <c r="CU47" s="38"/>
      <c r="CV47" s="38"/>
      <c r="CW47" s="38"/>
      <c r="CX47" s="38"/>
      <c r="CY47" s="38"/>
      <c r="CZ47" s="38"/>
      <c r="DA47" s="38"/>
      <c r="DB47" s="45">
        <f t="shared" si="103"/>
        <v>60459</v>
      </c>
      <c r="DC47" s="45"/>
      <c r="DD47" s="46">
        <f t="shared" si="25"/>
        <v>261989</v>
      </c>
      <c r="DE47" s="41">
        <f t="shared" si="99"/>
        <v>0</v>
      </c>
      <c r="DF47" s="41">
        <f t="shared" si="27"/>
        <v>94547.926616270706</v>
      </c>
      <c r="DG47" s="47"/>
      <c r="DH47" s="47"/>
      <c r="DI47" s="47"/>
      <c r="DJ47" s="47"/>
      <c r="DK47" s="47">
        <f t="shared" si="55"/>
        <v>0</v>
      </c>
      <c r="DL47" s="47">
        <f t="shared" si="56"/>
        <v>0</v>
      </c>
      <c r="DM47" s="47">
        <f t="shared" si="57"/>
        <v>0</v>
      </c>
      <c r="DN47" s="47">
        <f t="shared" si="58"/>
        <v>0</v>
      </c>
      <c r="DO47" s="47">
        <f t="shared" si="59"/>
        <v>0</v>
      </c>
      <c r="DP47" s="47">
        <f t="shared" si="60"/>
        <v>0</v>
      </c>
      <c r="DQ47" s="47">
        <f t="shared" si="61"/>
        <v>0</v>
      </c>
      <c r="DR47" s="47">
        <f t="shared" si="62"/>
        <v>0</v>
      </c>
      <c r="DS47" s="47">
        <f t="shared" si="100"/>
        <v>0</v>
      </c>
      <c r="DT47" s="47">
        <f t="shared" si="64"/>
        <v>0</v>
      </c>
      <c r="DU47" s="47">
        <f t="shared" si="65"/>
        <v>0</v>
      </c>
      <c r="DV47" s="47">
        <f t="shared" si="66"/>
        <v>0</v>
      </c>
      <c r="DW47" s="47">
        <f t="shared" si="67"/>
        <v>0</v>
      </c>
      <c r="DX47" s="47">
        <f t="shared" si="101"/>
        <v>28364.377984881212</v>
      </c>
      <c r="DY47" s="92">
        <f t="shared" si="29"/>
        <v>122912.30460115192</v>
      </c>
    </row>
    <row r="48" spans="2:129" s="3" customFormat="1" ht="12.75" x14ac:dyDescent="0.2">
      <c r="B48" s="12">
        <f t="shared" si="30"/>
        <v>23</v>
      </c>
      <c r="C48" s="13">
        <f t="shared" si="31"/>
        <v>0.45328563358074364</v>
      </c>
      <c r="D48" s="82">
        <f>IF($B48=F$20,'Construction Costs_2022'!$K$22+'Construction Costs_2022'!$K$7,0)</f>
        <v>0</v>
      </c>
      <c r="E48" s="38">
        <f t="shared" si="32"/>
        <v>28800</v>
      </c>
      <c r="F48" s="38"/>
      <c r="G48" s="45"/>
      <c r="H48" s="46">
        <f t="shared" si="10"/>
        <v>28800</v>
      </c>
      <c r="I48" s="41">
        <f t="shared" si="11"/>
        <v>0</v>
      </c>
      <c r="J48" s="41">
        <f t="shared" si="11"/>
        <v>13054.626247125418</v>
      </c>
      <c r="K48" s="47">
        <f t="shared" si="11"/>
        <v>0</v>
      </c>
      <c r="L48" s="47">
        <f t="shared" si="11"/>
        <v>0</v>
      </c>
      <c r="M48" s="92">
        <f t="shared" si="33"/>
        <v>13054.626247125418</v>
      </c>
      <c r="N48" s="91">
        <f>IF($B48=P$20,'Construction Costs_2022'!$K$43+'Construction Costs_2022'!$K$7,0)</f>
        <v>0</v>
      </c>
      <c r="O48" s="38">
        <f t="shared" si="34"/>
        <v>43200</v>
      </c>
      <c r="P48" s="38"/>
      <c r="Q48" s="45"/>
      <c r="R48" s="46">
        <f t="shared" si="35"/>
        <v>43200</v>
      </c>
      <c r="S48" s="41">
        <f t="shared" si="105"/>
        <v>0</v>
      </c>
      <c r="T48" s="41">
        <f t="shared" si="105"/>
        <v>19581.939370688124</v>
      </c>
      <c r="U48" s="47">
        <f t="shared" si="104"/>
        <v>0</v>
      </c>
      <c r="V48" s="47">
        <f t="shared" si="106"/>
        <v>0</v>
      </c>
      <c r="W48" s="92">
        <f t="shared" si="36"/>
        <v>19581.939370688124</v>
      </c>
      <c r="X48" s="82">
        <f>IF($B48=AP$20,'OBC Cost _Van Oord 2022'!$E$30,0)</f>
        <v>0</v>
      </c>
      <c r="Y48" s="38">
        <f t="shared" si="37"/>
        <v>0</v>
      </c>
      <c r="Z48" s="38"/>
      <c r="AA48" s="38"/>
      <c r="AB48" s="38"/>
      <c r="AC48" s="38"/>
      <c r="AD48" s="38"/>
      <c r="AE48" s="38"/>
      <c r="AF48" s="38"/>
      <c r="AG48" s="38"/>
      <c r="AH48" s="38"/>
      <c r="AI48" s="38"/>
      <c r="AJ48" s="38"/>
      <c r="AK48" s="38"/>
      <c r="AL48" s="38"/>
      <c r="AM48" s="38"/>
      <c r="AN48" s="38"/>
      <c r="AO48" s="38"/>
      <c r="AP48" s="38"/>
      <c r="AQ48" s="45">
        <f t="shared" si="102"/>
        <v>0</v>
      </c>
      <c r="AR48" s="45"/>
      <c r="AS48" s="46">
        <f t="shared" si="13"/>
        <v>0</v>
      </c>
      <c r="AT48" s="41">
        <f t="shared" si="14"/>
        <v>0</v>
      </c>
      <c r="AU48" s="41">
        <f t="shared" si="15"/>
        <v>0</v>
      </c>
      <c r="AV48" s="47"/>
      <c r="AW48" s="47"/>
      <c r="AX48" s="47"/>
      <c r="AY48" s="47"/>
      <c r="AZ48" s="47"/>
      <c r="BA48" s="47"/>
      <c r="BB48" s="47"/>
      <c r="BC48" s="47"/>
      <c r="BD48" s="47"/>
      <c r="BE48" s="47"/>
      <c r="BF48" s="47"/>
      <c r="BG48" s="47"/>
      <c r="BH48" s="47"/>
      <c r="BI48" s="47"/>
      <c r="BJ48" s="47"/>
      <c r="BK48" s="47"/>
      <c r="BL48" s="47"/>
      <c r="BM48" s="47">
        <f t="shared" si="96"/>
        <v>0</v>
      </c>
      <c r="BN48" s="92">
        <f t="shared" si="17"/>
        <v>0</v>
      </c>
      <c r="BO48" s="82">
        <f>IF($B48=BQ$20,'Construction Costs_2022'!$K$84+'Construction Costs_2022'!$K$7,0)</f>
        <v>0</v>
      </c>
      <c r="BP48" s="38">
        <f t="shared" si="18"/>
        <v>0</v>
      </c>
      <c r="BQ48" s="38"/>
      <c r="BR48" s="45"/>
      <c r="BS48" s="46">
        <f t="shared" si="97"/>
        <v>0</v>
      </c>
      <c r="BT48" s="41">
        <f t="shared" si="20"/>
        <v>0</v>
      </c>
      <c r="BU48" s="41">
        <f t="shared" si="20"/>
        <v>0</v>
      </c>
      <c r="BV48" s="47">
        <f t="shared" si="20"/>
        <v>0</v>
      </c>
      <c r="BW48" s="47">
        <f t="shared" si="20"/>
        <v>0</v>
      </c>
      <c r="BX48" s="92">
        <f t="shared" si="52"/>
        <v>0</v>
      </c>
      <c r="BY48" s="82">
        <f>IF($B48=CA$20,'Construction Costs_2022'!$K$104+'Construction Costs_2022'!$K$7,0)</f>
        <v>0</v>
      </c>
      <c r="BZ48" s="38">
        <f t="shared" si="21"/>
        <v>0</v>
      </c>
      <c r="CA48" s="38"/>
      <c r="CB48" s="45"/>
      <c r="CC48" s="46">
        <f t="shared" si="98"/>
        <v>0</v>
      </c>
      <c r="CD48" s="41">
        <f t="shared" si="23"/>
        <v>0</v>
      </c>
      <c r="CE48" s="41">
        <f t="shared" si="23"/>
        <v>0</v>
      </c>
      <c r="CF48" s="47">
        <f t="shared" si="23"/>
        <v>0</v>
      </c>
      <c r="CG48" s="47">
        <f t="shared" si="23"/>
        <v>0</v>
      </c>
      <c r="CH48" s="92">
        <f t="shared" si="53"/>
        <v>0</v>
      </c>
      <c r="CI48" s="82">
        <f>IF($B48=DA$20,'OBC Cost _Van Oord 2022'!$E$30,0)</f>
        <v>0</v>
      </c>
      <c r="CJ48" s="38">
        <f t="shared" si="54"/>
        <v>0</v>
      </c>
      <c r="CK48" s="38"/>
      <c r="CL48" s="38"/>
      <c r="CM48" s="38"/>
      <c r="CN48" s="38"/>
      <c r="CO48" s="38"/>
      <c r="CP48" s="38"/>
      <c r="CQ48" s="38"/>
      <c r="CR48" s="38"/>
      <c r="CS48" s="38"/>
      <c r="CT48" s="38"/>
      <c r="CU48" s="38"/>
      <c r="CV48" s="38"/>
      <c r="CW48" s="38"/>
      <c r="CX48" s="38"/>
      <c r="CY48" s="38"/>
      <c r="CZ48" s="38"/>
      <c r="DA48" s="38"/>
      <c r="DB48" s="45">
        <f t="shared" si="103"/>
        <v>0</v>
      </c>
      <c r="DC48" s="45"/>
      <c r="DD48" s="46">
        <f t="shared" si="25"/>
        <v>0</v>
      </c>
      <c r="DE48" s="41">
        <f t="shared" si="99"/>
        <v>0</v>
      </c>
      <c r="DF48" s="41">
        <f t="shared" si="27"/>
        <v>0</v>
      </c>
      <c r="DG48" s="47"/>
      <c r="DH48" s="47"/>
      <c r="DI48" s="47"/>
      <c r="DJ48" s="47"/>
      <c r="DK48" s="47"/>
      <c r="DL48" s="47"/>
      <c r="DM48" s="47"/>
      <c r="DN48" s="47"/>
      <c r="DO48" s="47"/>
      <c r="DP48" s="47"/>
      <c r="DQ48" s="47"/>
      <c r="DR48" s="47"/>
      <c r="DS48" s="47"/>
      <c r="DT48" s="47"/>
      <c r="DU48" s="47"/>
      <c r="DV48" s="47"/>
      <c r="DW48" s="47"/>
      <c r="DX48" s="47">
        <f t="shared" si="101"/>
        <v>0</v>
      </c>
      <c r="DY48" s="92">
        <f t="shared" si="29"/>
        <v>0</v>
      </c>
    </row>
    <row r="49" spans="2:129" s="3" customFormat="1" ht="12.75" x14ac:dyDescent="0.2">
      <c r="B49" s="12">
        <f t="shared" si="30"/>
        <v>24</v>
      </c>
      <c r="C49" s="13">
        <f t="shared" si="31"/>
        <v>0.43795713389443836</v>
      </c>
      <c r="D49" s="82">
        <f>IF($B49=F$20,'Construction Costs_2022'!$K$22+'Construction Costs_2022'!$K$7,0)</f>
        <v>0</v>
      </c>
      <c r="E49" s="38">
        <f t="shared" si="32"/>
        <v>28800</v>
      </c>
      <c r="F49" s="38"/>
      <c r="G49" s="45"/>
      <c r="H49" s="46">
        <f t="shared" si="10"/>
        <v>28800</v>
      </c>
      <c r="I49" s="41">
        <f t="shared" si="11"/>
        <v>0</v>
      </c>
      <c r="J49" s="41">
        <f t="shared" si="11"/>
        <v>12613.165456159824</v>
      </c>
      <c r="K49" s="47">
        <f t="shared" si="11"/>
        <v>0</v>
      </c>
      <c r="L49" s="47">
        <f t="shared" si="11"/>
        <v>0</v>
      </c>
      <c r="M49" s="92">
        <f t="shared" si="33"/>
        <v>12613.165456159824</v>
      </c>
      <c r="N49" s="91">
        <f>IF($B49=P$20,'Construction Costs_2022'!$K$43+'Construction Costs_2022'!$K$7,0)</f>
        <v>0</v>
      </c>
      <c r="O49" s="38">
        <f t="shared" si="34"/>
        <v>43200</v>
      </c>
      <c r="P49" s="38"/>
      <c r="Q49" s="45"/>
      <c r="R49" s="46">
        <f t="shared" si="35"/>
        <v>43200</v>
      </c>
      <c r="S49" s="41">
        <f t="shared" si="105"/>
        <v>0</v>
      </c>
      <c r="T49" s="41">
        <f t="shared" si="105"/>
        <v>18919.748184239736</v>
      </c>
      <c r="U49" s="47">
        <f t="shared" si="104"/>
        <v>0</v>
      </c>
      <c r="V49" s="47">
        <f t="shared" si="106"/>
        <v>0</v>
      </c>
      <c r="W49" s="92">
        <f t="shared" si="36"/>
        <v>18919.748184239736</v>
      </c>
      <c r="X49" s="82">
        <f>IF($B49=AP$20,'OBC Cost _Van Oord 2022'!$E$30,0)</f>
        <v>0</v>
      </c>
      <c r="Y49" s="38">
        <f t="shared" si="37"/>
        <v>0</v>
      </c>
      <c r="Z49" s="38"/>
      <c r="AA49" s="38"/>
      <c r="AB49" s="38"/>
      <c r="AC49" s="38"/>
      <c r="AD49" s="38"/>
      <c r="AE49" s="38"/>
      <c r="AF49" s="38"/>
      <c r="AG49" s="38"/>
      <c r="AH49" s="38"/>
      <c r="AI49" s="38"/>
      <c r="AJ49" s="38"/>
      <c r="AK49" s="38"/>
      <c r="AL49" s="38"/>
      <c r="AM49" s="38"/>
      <c r="AN49" s="38"/>
      <c r="AO49" s="38"/>
      <c r="AP49" s="38"/>
      <c r="AQ49" s="45">
        <f t="shared" si="102"/>
        <v>0</v>
      </c>
      <c r="AR49" s="45"/>
      <c r="AS49" s="46">
        <f t="shared" si="13"/>
        <v>0</v>
      </c>
      <c r="AT49" s="41">
        <f t="shared" si="14"/>
        <v>0</v>
      </c>
      <c r="AU49" s="41">
        <f t="shared" si="15"/>
        <v>0</v>
      </c>
      <c r="AV49" s="47"/>
      <c r="AW49" s="47"/>
      <c r="AX49" s="47"/>
      <c r="AY49" s="47"/>
      <c r="AZ49" s="47"/>
      <c r="BA49" s="47"/>
      <c r="BB49" s="47"/>
      <c r="BC49" s="47"/>
      <c r="BD49" s="47"/>
      <c r="BE49" s="47"/>
      <c r="BF49" s="47"/>
      <c r="BG49" s="47"/>
      <c r="BH49" s="47"/>
      <c r="BI49" s="47"/>
      <c r="BJ49" s="47"/>
      <c r="BK49" s="47"/>
      <c r="BL49" s="47"/>
      <c r="BM49" s="47">
        <f t="shared" si="96"/>
        <v>0</v>
      </c>
      <c r="BN49" s="92">
        <f t="shared" si="17"/>
        <v>0</v>
      </c>
      <c r="BO49" s="82">
        <f>IF($B49=BQ$20,'Construction Costs_2022'!$K$84+'Construction Costs_2022'!$K$7,0)</f>
        <v>0</v>
      </c>
      <c r="BP49" s="38">
        <f t="shared" si="18"/>
        <v>0</v>
      </c>
      <c r="BQ49" s="38"/>
      <c r="BR49" s="45"/>
      <c r="BS49" s="46">
        <f t="shared" si="97"/>
        <v>0</v>
      </c>
      <c r="BT49" s="41">
        <f t="shared" si="20"/>
        <v>0</v>
      </c>
      <c r="BU49" s="41">
        <f t="shared" si="20"/>
        <v>0</v>
      </c>
      <c r="BV49" s="47">
        <f t="shared" si="20"/>
        <v>0</v>
      </c>
      <c r="BW49" s="47">
        <f t="shared" si="20"/>
        <v>0</v>
      </c>
      <c r="BX49" s="92">
        <f t="shared" si="52"/>
        <v>0</v>
      </c>
      <c r="BY49" s="82">
        <f>IF($B49=CA$20,'Construction Costs_2022'!$K$104+'Construction Costs_2022'!$K$7,0)</f>
        <v>0</v>
      </c>
      <c r="BZ49" s="38">
        <f t="shared" si="21"/>
        <v>0</v>
      </c>
      <c r="CA49" s="38"/>
      <c r="CB49" s="45"/>
      <c r="CC49" s="46">
        <f t="shared" si="98"/>
        <v>0</v>
      </c>
      <c r="CD49" s="41">
        <f t="shared" si="23"/>
        <v>0</v>
      </c>
      <c r="CE49" s="41">
        <f t="shared" si="23"/>
        <v>0</v>
      </c>
      <c r="CF49" s="47">
        <f t="shared" si="23"/>
        <v>0</v>
      </c>
      <c r="CG49" s="47">
        <f t="shared" si="23"/>
        <v>0</v>
      </c>
      <c r="CH49" s="92">
        <f t="shared" si="53"/>
        <v>0</v>
      </c>
      <c r="CI49" s="82">
        <f>IF($B49=DA$20,'OBC Cost _Van Oord 2022'!$E$30,0)</f>
        <v>0</v>
      </c>
      <c r="CJ49" s="38">
        <f t="shared" si="54"/>
        <v>0</v>
      </c>
      <c r="CK49" s="38"/>
      <c r="CL49" s="38"/>
      <c r="CM49" s="38"/>
      <c r="CN49" s="38"/>
      <c r="CO49" s="38"/>
      <c r="CP49" s="38"/>
      <c r="CQ49" s="38"/>
      <c r="CR49" s="38"/>
      <c r="CS49" s="38"/>
      <c r="CT49" s="38"/>
      <c r="CU49" s="38"/>
      <c r="CV49" s="38"/>
      <c r="CW49" s="38"/>
      <c r="CX49" s="38"/>
      <c r="CY49" s="38"/>
      <c r="CZ49" s="38"/>
      <c r="DA49" s="38"/>
      <c r="DB49" s="45">
        <f t="shared" si="103"/>
        <v>0</v>
      </c>
      <c r="DC49" s="45"/>
      <c r="DD49" s="46">
        <f t="shared" si="25"/>
        <v>0</v>
      </c>
      <c r="DE49" s="41">
        <f t="shared" si="99"/>
        <v>0</v>
      </c>
      <c r="DF49" s="41">
        <f t="shared" si="27"/>
        <v>0</v>
      </c>
      <c r="DG49" s="47"/>
      <c r="DH49" s="47"/>
      <c r="DI49" s="47"/>
      <c r="DJ49" s="47"/>
      <c r="DK49" s="47"/>
      <c r="DL49" s="47"/>
      <c r="DM49" s="47"/>
      <c r="DN49" s="47"/>
      <c r="DO49" s="47"/>
      <c r="DP49" s="47"/>
      <c r="DQ49" s="47"/>
      <c r="DR49" s="47"/>
      <c r="DS49" s="47"/>
      <c r="DT49" s="47"/>
      <c r="DU49" s="47"/>
      <c r="DV49" s="47"/>
      <c r="DW49" s="47"/>
      <c r="DX49" s="47">
        <f t="shared" si="101"/>
        <v>0</v>
      </c>
      <c r="DY49" s="92">
        <f t="shared" si="29"/>
        <v>0</v>
      </c>
    </row>
    <row r="50" spans="2:129" s="3" customFormat="1" ht="12.75" x14ac:dyDescent="0.2">
      <c r="B50" s="12">
        <f t="shared" si="30"/>
        <v>25</v>
      </c>
      <c r="C50" s="13">
        <f t="shared" si="31"/>
        <v>0.42314698926998878</v>
      </c>
      <c r="D50" s="82">
        <f>IF($B50=F$20,'Construction Costs_2022'!$K$22+'Construction Costs_2022'!$K$7,0)</f>
        <v>0</v>
      </c>
      <c r="E50" s="38">
        <f t="shared" si="32"/>
        <v>28800</v>
      </c>
      <c r="F50" s="38"/>
      <c r="G50" s="45"/>
      <c r="H50" s="46">
        <f t="shared" si="10"/>
        <v>28800</v>
      </c>
      <c r="I50" s="41">
        <f t="shared" si="11"/>
        <v>0</v>
      </c>
      <c r="J50" s="41">
        <f t="shared" si="11"/>
        <v>12186.633290975677</v>
      </c>
      <c r="K50" s="47">
        <f t="shared" si="11"/>
        <v>0</v>
      </c>
      <c r="L50" s="47">
        <f t="shared" si="11"/>
        <v>0</v>
      </c>
      <c r="M50" s="92">
        <f t="shared" si="33"/>
        <v>12186.633290975677</v>
      </c>
      <c r="N50" s="91">
        <f>IF($B50=P$20,'Construction Costs_2022'!$K$43+'Construction Costs_2022'!$K$7,0)</f>
        <v>0</v>
      </c>
      <c r="O50" s="38">
        <f t="shared" si="34"/>
        <v>43200</v>
      </c>
      <c r="P50" s="38"/>
      <c r="Q50" s="45"/>
      <c r="R50" s="46">
        <f t="shared" si="35"/>
        <v>43200</v>
      </c>
      <c r="S50" s="41">
        <f t="shared" si="105"/>
        <v>0</v>
      </c>
      <c r="T50" s="41">
        <f t="shared" si="105"/>
        <v>18279.949936463516</v>
      </c>
      <c r="U50" s="47">
        <f t="shared" si="104"/>
        <v>0</v>
      </c>
      <c r="V50" s="47">
        <f t="shared" si="106"/>
        <v>0</v>
      </c>
      <c r="W50" s="92">
        <f t="shared" si="36"/>
        <v>18279.949936463516</v>
      </c>
      <c r="X50" s="82">
        <f>IF($B50=AP$20,'OBC Cost _Van Oord 2022'!$E$30,0)</f>
        <v>0</v>
      </c>
      <c r="Y50" s="38">
        <f t="shared" si="37"/>
        <v>0</v>
      </c>
      <c r="Z50" s="38"/>
      <c r="AA50" s="38"/>
      <c r="AB50" s="38"/>
      <c r="AC50" s="38"/>
      <c r="AD50" s="38"/>
      <c r="AE50" s="38"/>
      <c r="AF50" s="38"/>
      <c r="AG50" s="38"/>
      <c r="AH50" s="38"/>
      <c r="AI50" s="38"/>
      <c r="AJ50" s="38"/>
      <c r="AK50" s="38"/>
      <c r="AL50" s="38"/>
      <c r="AM50" s="38"/>
      <c r="AN50" s="38"/>
      <c r="AO50" s="38"/>
      <c r="AP50" s="38"/>
      <c r="AQ50" s="45">
        <f t="shared" si="102"/>
        <v>0</v>
      </c>
      <c r="AR50" s="45"/>
      <c r="AS50" s="46">
        <f t="shared" si="13"/>
        <v>0</v>
      </c>
      <c r="AT50" s="41">
        <f t="shared" si="14"/>
        <v>0</v>
      </c>
      <c r="AU50" s="41">
        <f t="shared" si="15"/>
        <v>0</v>
      </c>
      <c r="AV50" s="47"/>
      <c r="AW50" s="47"/>
      <c r="AX50" s="47"/>
      <c r="AY50" s="47"/>
      <c r="AZ50" s="47"/>
      <c r="BA50" s="47"/>
      <c r="BB50" s="47"/>
      <c r="BC50" s="47"/>
      <c r="BD50" s="47"/>
      <c r="BE50" s="47"/>
      <c r="BF50" s="47"/>
      <c r="BG50" s="47"/>
      <c r="BH50" s="47"/>
      <c r="BI50" s="47"/>
      <c r="BJ50" s="47"/>
      <c r="BK50" s="47"/>
      <c r="BL50" s="47"/>
      <c r="BM50" s="47">
        <f t="shared" si="96"/>
        <v>0</v>
      </c>
      <c r="BN50" s="92">
        <f t="shared" si="17"/>
        <v>0</v>
      </c>
      <c r="BO50" s="82">
        <f>IF($B50=BQ$20,'Construction Costs_2022'!$K$84+'Construction Costs_2022'!$K$7,0)</f>
        <v>0</v>
      </c>
      <c r="BP50" s="38">
        <f t="shared" si="18"/>
        <v>0</v>
      </c>
      <c r="BQ50" s="38"/>
      <c r="BR50" s="45"/>
      <c r="BS50" s="46">
        <f t="shared" si="97"/>
        <v>0</v>
      </c>
      <c r="BT50" s="41">
        <f t="shared" si="20"/>
        <v>0</v>
      </c>
      <c r="BU50" s="41">
        <f t="shared" si="20"/>
        <v>0</v>
      </c>
      <c r="BV50" s="47">
        <f t="shared" si="20"/>
        <v>0</v>
      </c>
      <c r="BW50" s="47">
        <f t="shared" si="20"/>
        <v>0</v>
      </c>
      <c r="BX50" s="92">
        <f t="shared" si="52"/>
        <v>0</v>
      </c>
      <c r="BY50" s="82">
        <f>IF($B50=CA$20,'Construction Costs_2022'!$K$104+'Construction Costs_2022'!$K$7,0)</f>
        <v>0</v>
      </c>
      <c r="BZ50" s="38">
        <f t="shared" si="21"/>
        <v>0</v>
      </c>
      <c r="CA50" s="38"/>
      <c r="CB50" s="45"/>
      <c r="CC50" s="46">
        <f t="shared" si="98"/>
        <v>0</v>
      </c>
      <c r="CD50" s="41">
        <f t="shared" si="23"/>
        <v>0</v>
      </c>
      <c r="CE50" s="41">
        <f t="shared" si="23"/>
        <v>0</v>
      </c>
      <c r="CF50" s="47">
        <f t="shared" si="23"/>
        <v>0</v>
      </c>
      <c r="CG50" s="47">
        <f t="shared" si="23"/>
        <v>0</v>
      </c>
      <c r="CH50" s="92">
        <f t="shared" si="53"/>
        <v>0</v>
      </c>
      <c r="CI50" s="82">
        <f>IF($B50=DA$20,'OBC Cost _Van Oord 2022'!$E$30,0)</f>
        <v>0</v>
      </c>
      <c r="CJ50" s="38">
        <f t="shared" si="54"/>
        <v>0</v>
      </c>
      <c r="CK50" s="38"/>
      <c r="CL50" s="38"/>
      <c r="CM50" s="38"/>
      <c r="CN50" s="38"/>
      <c r="CO50" s="38"/>
      <c r="CP50" s="38"/>
      <c r="CQ50" s="38"/>
      <c r="CR50" s="38"/>
      <c r="CS50" s="38"/>
      <c r="CT50" s="38"/>
      <c r="CU50" s="38"/>
      <c r="CV50" s="38"/>
      <c r="CW50" s="38"/>
      <c r="CX50" s="38"/>
      <c r="CY50" s="38"/>
      <c r="CZ50" s="38"/>
      <c r="DA50" s="38"/>
      <c r="DB50" s="45">
        <f t="shared" si="103"/>
        <v>0</v>
      </c>
      <c r="DC50" s="45"/>
      <c r="DD50" s="46">
        <f t="shared" si="25"/>
        <v>0</v>
      </c>
      <c r="DE50" s="41">
        <f t="shared" si="99"/>
        <v>0</v>
      </c>
      <c r="DF50" s="41">
        <f t="shared" si="27"/>
        <v>0</v>
      </c>
      <c r="DG50" s="47"/>
      <c r="DH50" s="47"/>
      <c r="DI50" s="47"/>
      <c r="DJ50" s="47"/>
      <c r="DK50" s="47"/>
      <c r="DL50" s="47"/>
      <c r="DM50" s="47"/>
      <c r="DN50" s="47"/>
      <c r="DO50" s="47"/>
      <c r="DP50" s="47"/>
      <c r="DQ50" s="47"/>
      <c r="DR50" s="47"/>
      <c r="DS50" s="47"/>
      <c r="DT50" s="47"/>
      <c r="DU50" s="47"/>
      <c r="DV50" s="47"/>
      <c r="DW50" s="47"/>
      <c r="DX50" s="47">
        <f t="shared" si="101"/>
        <v>0</v>
      </c>
      <c r="DY50" s="92">
        <f t="shared" si="29"/>
        <v>0</v>
      </c>
    </row>
    <row r="51" spans="2:129" s="3" customFormat="1" ht="12.75" x14ac:dyDescent="0.2">
      <c r="B51" s="12">
        <f t="shared" si="30"/>
        <v>26</v>
      </c>
      <c r="C51" s="13">
        <f t="shared" si="31"/>
        <v>0.40883767079225974</v>
      </c>
      <c r="D51" s="82">
        <f>IF($B51=F$20,'Construction Costs_2022'!$K$22+'Construction Costs_2022'!$K$7,0)</f>
        <v>0</v>
      </c>
      <c r="E51" s="38">
        <f t="shared" si="32"/>
        <v>28800</v>
      </c>
      <c r="F51" s="38"/>
      <c r="G51" s="45"/>
      <c r="H51" s="46">
        <f t="shared" si="10"/>
        <v>28800</v>
      </c>
      <c r="I51" s="41">
        <f t="shared" si="11"/>
        <v>0</v>
      </c>
      <c r="J51" s="41">
        <f t="shared" si="11"/>
        <v>11774.52491881708</v>
      </c>
      <c r="K51" s="47">
        <f t="shared" si="11"/>
        <v>0</v>
      </c>
      <c r="L51" s="47">
        <f t="shared" si="11"/>
        <v>0</v>
      </c>
      <c r="M51" s="92">
        <f t="shared" si="33"/>
        <v>11774.52491881708</v>
      </c>
      <c r="N51" s="91">
        <f>IF($B51=P$20,'Construction Costs_2022'!$K$43+'Construction Costs_2022'!$K$7,0)</f>
        <v>0</v>
      </c>
      <c r="O51" s="38">
        <f t="shared" si="34"/>
        <v>43200</v>
      </c>
      <c r="P51" s="38"/>
      <c r="Q51" s="45"/>
      <c r="R51" s="46">
        <f t="shared" si="35"/>
        <v>43200</v>
      </c>
      <c r="S51" s="41">
        <f t="shared" si="105"/>
        <v>0</v>
      </c>
      <c r="T51" s="41">
        <f t="shared" si="105"/>
        <v>17661.787378225621</v>
      </c>
      <c r="U51" s="47">
        <f t="shared" si="104"/>
        <v>0</v>
      </c>
      <c r="V51" s="47">
        <f t="shared" si="106"/>
        <v>0</v>
      </c>
      <c r="W51" s="92">
        <f t="shared" si="36"/>
        <v>17661.787378225621</v>
      </c>
      <c r="X51" s="82">
        <f>IF($B51=AP$20,'OBC Cost _Van Oord 2022'!$E$30,0)</f>
        <v>0</v>
      </c>
      <c r="Y51" s="38">
        <f t="shared" si="37"/>
        <v>0</v>
      </c>
      <c r="Z51" s="38"/>
      <c r="AA51" s="38"/>
      <c r="AB51" s="38"/>
      <c r="AC51" s="38"/>
      <c r="AD51" s="38"/>
      <c r="AE51" s="38"/>
      <c r="AF51" s="38"/>
      <c r="AG51" s="38"/>
      <c r="AH51" s="38"/>
      <c r="AI51" s="38"/>
      <c r="AJ51" s="38"/>
      <c r="AK51" s="38"/>
      <c r="AL51" s="38"/>
      <c r="AM51" s="38"/>
      <c r="AN51" s="38"/>
      <c r="AO51" s="38"/>
      <c r="AP51" s="38"/>
      <c r="AQ51" s="45">
        <f t="shared" si="102"/>
        <v>0</v>
      </c>
      <c r="AR51" s="45"/>
      <c r="AS51" s="46">
        <f t="shared" si="13"/>
        <v>0</v>
      </c>
      <c r="AT51" s="41">
        <f t="shared" si="14"/>
        <v>0</v>
      </c>
      <c r="AU51" s="41">
        <f t="shared" si="15"/>
        <v>0</v>
      </c>
      <c r="AV51" s="47"/>
      <c r="AW51" s="47"/>
      <c r="AX51" s="47"/>
      <c r="AY51" s="47"/>
      <c r="AZ51" s="47"/>
      <c r="BA51" s="47"/>
      <c r="BB51" s="47"/>
      <c r="BC51" s="47"/>
      <c r="BD51" s="47"/>
      <c r="BE51" s="47"/>
      <c r="BF51" s="47"/>
      <c r="BG51" s="47"/>
      <c r="BH51" s="47"/>
      <c r="BI51" s="47"/>
      <c r="BJ51" s="47"/>
      <c r="BK51" s="47"/>
      <c r="BL51" s="47"/>
      <c r="BM51" s="47">
        <f t="shared" si="96"/>
        <v>0</v>
      </c>
      <c r="BN51" s="92">
        <f t="shared" si="17"/>
        <v>0</v>
      </c>
      <c r="BO51" s="82">
        <f>IF($B51=BQ$20,'Construction Costs_2022'!$K$84+'Construction Costs_2022'!$K$7,0)</f>
        <v>0</v>
      </c>
      <c r="BP51" s="38">
        <f t="shared" si="18"/>
        <v>0</v>
      </c>
      <c r="BQ51" s="38"/>
      <c r="BR51" s="45"/>
      <c r="BS51" s="46">
        <f t="shared" si="97"/>
        <v>0</v>
      </c>
      <c r="BT51" s="41">
        <f t="shared" si="20"/>
        <v>0</v>
      </c>
      <c r="BU51" s="41">
        <f t="shared" si="20"/>
        <v>0</v>
      </c>
      <c r="BV51" s="47">
        <f t="shared" si="20"/>
        <v>0</v>
      </c>
      <c r="BW51" s="47">
        <f t="shared" si="20"/>
        <v>0</v>
      </c>
      <c r="BX51" s="92">
        <f t="shared" si="52"/>
        <v>0</v>
      </c>
      <c r="BY51" s="82">
        <f>IF($B51=CA$20,'Construction Costs_2022'!$K$104+'Construction Costs_2022'!$K$7,0)</f>
        <v>0</v>
      </c>
      <c r="BZ51" s="38">
        <f t="shared" si="21"/>
        <v>0</v>
      </c>
      <c r="CA51" s="38"/>
      <c r="CB51" s="45"/>
      <c r="CC51" s="46">
        <f t="shared" si="98"/>
        <v>0</v>
      </c>
      <c r="CD51" s="41">
        <f t="shared" si="23"/>
        <v>0</v>
      </c>
      <c r="CE51" s="41">
        <f t="shared" si="23"/>
        <v>0</v>
      </c>
      <c r="CF51" s="47">
        <f t="shared" si="23"/>
        <v>0</v>
      </c>
      <c r="CG51" s="47">
        <f t="shared" si="23"/>
        <v>0</v>
      </c>
      <c r="CH51" s="92">
        <f t="shared" si="53"/>
        <v>0</v>
      </c>
      <c r="CI51" s="82">
        <f>IF($B51=DA$20,'OBC Cost _Van Oord 2022'!$E$30,0)</f>
        <v>0</v>
      </c>
      <c r="CJ51" s="38">
        <f t="shared" si="54"/>
        <v>0</v>
      </c>
      <c r="CK51" s="38"/>
      <c r="CL51" s="38"/>
      <c r="CM51" s="38"/>
      <c r="CN51" s="38"/>
      <c r="CO51" s="38"/>
      <c r="CP51" s="38"/>
      <c r="CQ51" s="38"/>
      <c r="CR51" s="38"/>
      <c r="CS51" s="38"/>
      <c r="CT51" s="38"/>
      <c r="CU51" s="38"/>
      <c r="CV51" s="38"/>
      <c r="CW51" s="38"/>
      <c r="CX51" s="38"/>
      <c r="CY51" s="38"/>
      <c r="CZ51" s="38"/>
      <c r="DA51" s="38"/>
      <c r="DB51" s="45">
        <f t="shared" si="103"/>
        <v>0</v>
      </c>
      <c r="DC51" s="45"/>
      <c r="DD51" s="46">
        <f t="shared" si="25"/>
        <v>0</v>
      </c>
      <c r="DE51" s="41">
        <f t="shared" si="99"/>
        <v>0</v>
      </c>
      <c r="DF51" s="41">
        <f t="shared" si="27"/>
        <v>0</v>
      </c>
      <c r="DG51" s="47"/>
      <c r="DH51" s="47"/>
      <c r="DI51" s="47"/>
      <c r="DJ51" s="47"/>
      <c r="DK51" s="47"/>
      <c r="DL51" s="47"/>
      <c r="DM51" s="47"/>
      <c r="DN51" s="47"/>
      <c r="DO51" s="47"/>
      <c r="DP51" s="47"/>
      <c r="DQ51" s="47"/>
      <c r="DR51" s="47"/>
      <c r="DS51" s="47"/>
      <c r="DT51" s="47"/>
      <c r="DU51" s="47"/>
      <c r="DV51" s="47"/>
      <c r="DW51" s="47"/>
      <c r="DX51" s="47">
        <f t="shared" si="101"/>
        <v>0</v>
      </c>
      <c r="DY51" s="92">
        <f t="shared" si="29"/>
        <v>0</v>
      </c>
    </row>
    <row r="52" spans="2:129" s="3" customFormat="1" ht="12.75" x14ac:dyDescent="0.2">
      <c r="B52" s="12">
        <f t="shared" si="30"/>
        <v>27</v>
      </c>
      <c r="C52" s="13">
        <f t="shared" si="31"/>
        <v>0.39501224231136212</v>
      </c>
      <c r="D52" s="82">
        <f>IF($B52=F$20,'Construction Costs_2022'!$K$22+'Construction Costs_2022'!$K$7,0)</f>
        <v>0</v>
      </c>
      <c r="E52" s="38">
        <f t="shared" si="32"/>
        <v>28800</v>
      </c>
      <c r="F52" s="38"/>
      <c r="G52" s="45"/>
      <c r="H52" s="46">
        <f t="shared" si="10"/>
        <v>28800</v>
      </c>
      <c r="I52" s="41">
        <f t="shared" si="11"/>
        <v>0</v>
      </c>
      <c r="J52" s="41">
        <f t="shared" si="11"/>
        <v>11376.352578567228</v>
      </c>
      <c r="K52" s="47">
        <f t="shared" si="11"/>
        <v>0</v>
      </c>
      <c r="L52" s="47">
        <f t="shared" si="11"/>
        <v>0</v>
      </c>
      <c r="M52" s="92">
        <f t="shared" si="33"/>
        <v>11376.352578567228</v>
      </c>
      <c r="N52" s="91">
        <f>IF($B52=P$20,'Construction Costs_2022'!$K$43+'Construction Costs_2022'!$K$7,0)</f>
        <v>0</v>
      </c>
      <c r="O52" s="38">
        <f t="shared" si="34"/>
        <v>43200</v>
      </c>
      <c r="P52" s="38"/>
      <c r="Q52" s="45"/>
      <c r="R52" s="46">
        <f t="shared" si="35"/>
        <v>43200</v>
      </c>
      <c r="S52" s="41">
        <f t="shared" si="105"/>
        <v>0</v>
      </c>
      <c r="T52" s="41">
        <f t="shared" si="105"/>
        <v>17064.528867850844</v>
      </c>
      <c r="U52" s="47">
        <f t="shared" si="104"/>
        <v>0</v>
      </c>
      <c r="V52" s="47">
        <f t="shared" si="106"/>
        <v>0</v>
      </c>
      <c r="W52" s="92">
        <f t="shared" si="36"/>
        <v>17064.528867850844</v>
      </c>
      <c r="X52" s="82">
        <f>IF($B52=AP$20,'OBC Cost _Van Oord 2022'!$E$30,0)</f>
        <v>0</v>
      </c>
      <c r="Y52" s="38">
        <f t="shared" si="37"/>
        <v>86400</v>
      </c>
      <c r="Z52" s="38"/>
      <c r="AA52" s="38"/>
      <c r="AB52" s="38"/>
      <c r="AC52" s="38"/>
      <c r="AD52" s="38"/>
      <c r="AE52" s="38"/>
      <c r="AF52" s="38"/>
      <c r="AG52" s="38"/>
      <c r="AH52" s="38"/>
      <c r="AI52" s="38"/>
      <c r="AJ52" s="38"/>
      <c r="AK52" s="38"/>
      <c r="AL52" s="38"/>
      <c r="AM52" s="38"/>
      <c r="AN52" s="38"/>
      <c r="AO52" s="38"/>
      <c r="AP52" s="38"/>
      <c r="AQ52" s="45">
        <f t="shared" si="102"/>
        <v>22464</v>
      </c>
      <c r="AR52" s="45"/>
      <c r="AS52" s="46">
        <f t="shared" si="13"/>
        <v>108864</v>
      </c>
      <c r="AT52" s="41">
        <f t="shared" si="14"/>
        <v>0</v>
      </c>
      <c r="AU52" s="41">
        <f t="shared" si="15"/>
        <v>34129.057735701688</v>
      </c>
      <c r="AV52" s="47"/>
      <c r="AW52" s="47"/>
      <c r="AX52" s="47"/>
      <c r="AY52" s="47"/>
      <c r="AZ52" s="47"/>
      <c r="BA52" s="47"/>
      <c r="BB52" s="47"/>
      <c r="BC52" s="47"/>
      <c r="BD52" s="47"/>
      <c r="BE52" s="47"/>
      <c r="BF52" s="47"/>
      <c r="BG52" s="47"/>
      <c r="BH52" s="47"/>
      <c r="BI52" s="47"/>
      <c r="BJ52" s="47"/>
      <c r="BK52" s="47"/>
      <c r="BL52" s="47"/>
      <c r="BM52" s="47">
        <f t="shared" si="96"/>
        <v>8873.5550112824385</v>
      </c>
      <c r="BN52" s="92">
        <f t="shared" si="17"/>
        <v>43002.61274698413</v>
      </c>
      <c r="BO52" s="82">
        <f>IF($B52=BQ$20,'Construction Costs_2022'!$K$84+'Construction Costs_2022'!$K$7,0)</f>
        <v>0</v>
      </c>
      <c r="BP52" s="38">
        <f t="shared" si="18"/>
        <v>100800</v>
      </c>
      <c r="BQ52" s="38"/>
      <c r="BR52" s="45"/>
      <c r="BS52" s="46">
        <f t="shared" si="97"/>
        <v>100800</v>
      </c>
      <c r="BT52" s="41">
        <f t="shared" si="20"/>
        <v>0</v>
      </c>
      <c r="BU52" s="41">
        <f t="shared" si="20"/>
        <v>39817.2340249853</v>
      </c>
      <c r="BV52" s="47">
        <f t="shared" si="20"/>
        <v>0</v>
      </c>
      <c r="BW52" s="47">
        <f t="shared" si="20"/>
        <v>0</v>
      </c>
      <c r="BX52" s="92">
        <f t="shared" si="52"/>
        <v>39817.2340249853</v>
      </c>
      <c r="BY52" s="82">
        <f>IF($B52=CA$20,'Construction Costs_2022'!$K$104+'Construction Costs_2022'!$K$7,0)</f>
        <v>0</v>
      </c>
      <c r="BZ52" s="38">
        <f t="shared" si="21"/>
        <v>57600</v>
      </c>
      <c r="CA52" s="38"/>
      <c r="CB52" s="45"/>
      <c r="CC52" s="46">
        <f t="shared" si="98"/>
        <v>57600</v>
      </c>
      <c r="CD52" s="41">
        <f t="shared" si="23"/>
        <v>0</v>
      </c>
      <c r="CE52" s="41">
        <f t="shared" si="23"/>
        <v>22752.705157134456</v>
      </c>
      <c r="CF52" s="47">
        <f t="shared" si="23"/>
        <v>0</v>
      </c>
      <c r="CG52" s="47">
        <f t="shared" si="23"/>
        <v>0</v>
      </c>
      <c r="CH52" s="92">
        <f t="shared" si="53"/>
        <v>22752.705157134456</v>
      </c>
      <c r="CI52" s="82">
        <f>IF($B52=DA$20,'OBC Cost _Van Oord 2022'!$E$30,0)</f>
        <v>0</v>
      </c>
      <c r="CJ52" s="38">
        <f t="shared" si="54"/>
        <v>86400</v>
      </c>
      <c r="CK52" s="38"/>
      <c r="CL52" s="38"/>
      <c r="CM52" s="38"/>
      <c r="CN52" s="38"/>
      <c r="CO52" s="38"/>
      <c r="CP52" s="38"/>
      <c r="CQ52" s="38"/>
      <c r="CR52" s="38"/>
      <c r="CS52" s="38"/>
      <c r="CT52" s="38"/>
      <c r="CU52" s="38"/>
      <c r="CV52" s="38"/>
      <c r="CW52" s="38"/>
      <c r="CX52" s="38"/>
      <c r="CY52" s="38"/>
      <c r="CZ52" s="38"/>
      <c r="DA52" s="38"/>
      <c r="DB52" s="45">
        <f t="shared" si="103"/>
        <v>25920</v>
      </c>
      <c r="DC52" s="45"/>
      <c r="DD52" s="46">
        <f t="shared" si="25"/>
        <v>112320</v>
      </c>
      <c r="DE52" s="41">
        <f t="shared" si="99"/>
        <v>0</v>
      </c>
      <c r="DF52" s="41">
        <f t="shared" si="27"/>
        <v>34129.057735701688</v>
      </c>
      <c r="DG52" s="47"/>
      <c r="DH52" s="47"/>
      <c r="DI52" s="47"/>
      <c r="DJ52" s="47"/>
      <c r="DK52" s="47"/>
      <c r="DL52" s="47"/>
      <c r="DM52" s="47"/>
      <c r="DN52" s="47"/>
      <c r="DO52" s="47"/>
      <c r="DP52" s="47"/>
      <c r="DQ52" s="47"/>
      <c r="DR52" s="47"/>
      <c r="DS52" s="47"/>
      <c r="DT52" s="47"/>
      <c r="DU52" s="47"/>
      <c r="DV52" s="47"/>
      <c r="DW52" s="47"/>
      <c r="DX52" s="47">
        <f t="shared" si="101"/>
        <v>10238.717320710506</v>
      </c>
      <c r="DY52" s="92">
        <f t="shared" si="29"/>
        <v>44367.775056412196</v>
      </c>
    </row>
    <row r="53" spans="2:129" s="3" customFormat="1" ht="12.75" x14ac:dyDescent="0.2">
      <c r="B53" s="12">
        <f t="shared" si="30"/>
        <v>28</v>
      </c>
      <c r="C53" s="13">
        <f t="shared" si="31"/>
        <v>0.38165434039745133</v>
      </c>
      <c r="D53" s="82">
        <f>IF($B53=F$20,'Construction Costs_2022'!$K$22+'Construction Costs_2022'!$K$7,0)</f>
        <v>0</v>
      </c>
      <c r="E53" s="38">
        <f t="shared" si="32"/>
        <v>28800</v>
      </c>
      <c r="F53" s="38"/>
      <c r="G53" s="45"/>
      <c r="H53" s="46">
        <f t="shared" si="10"/>
        <v>28800</v>
      </c>
      <c r="I53" s="41">
        <f t="shared" si="11"/>
        <v>0</v>
      </c>
      <c r="J53" s="41">
        <f t="shared" si="11"/>
        <v>10991.645003446598</v>
      </c>
      <c r="K53" s="47">
        <f t="shared" si="11"/>
        <v>0</v>
      </c>
      <c r="L53" s="47">
        <f t="shared" si="11"/>
        <v>0</v>
      </c>
      <c r="M53" s="92">
        <f t="shared" si="33"/>
        <v>10991.645003446598</v>
      </c>
      <c r="N53" s="91">
        <f>IF($B53=P$20,'Construction Costs_2022'!$K$43+'Construction Costs_2022'!$K$7,0)</f>
        <v>0</v>
      </c>
      <c r="O53" s="38">
        <f t="shared" si="34"/>
        <v>43200</v>
      </c>
      <c r="P53" s="38"/>
      <c r="Q53" s="45"/>
      <c r="R53" s="46">
        <f t="shared" si="35"/>
        <v>43200</v>
      </c>
      <c r="S53" s="41">
        <f t="shared" si="105"/>
        <v>0</v>
      </c>
      <c r="T53" s="41">
        <f t="shared" si="105"/>
        <v>16487.467505169898</v>
      </c>
      <c r="U53" s="47">
        <f t="shared" si="104"/>
        <v>0</v>
      </c>
      <c r="V53" s="47">
        <f t="shared" si="106"/>
        <v>0</v>
      </c>
      <c r="W53" s="92">
        <f t="shared" si="36"/>
        <v>16487.467505169898</v>
      </c>
      <c r="X53" s="82">
        <f>IF($B53=AP$20,'OBC Cost _Van Oord 2022'!$E$30,0)</f>
        <v>0</v>
      </c>
      <c r="Y53" s="38">
        <f t="shared" si="37"/>
        <v>0</v>
      </c>
      <c r="Z53" s="38"/>
      <c r="AA53" s="38"/>
      <c r="AB53" s="38"/>
      <c r="AC53" s="38"/>
      <c r="AD53" s="38"/>
      <c r="AE53" s="38"/>
      <c r="AF53" s="38"/>
      <c r="AG53" s="38"/>
      <c r="AH53" s="38"/>
      <c r="AI53" s="38"/>
      <c r="AJ53" s="38"/>
      <c r="AK53" s="38"/>
      <c r="AL53" s="38"/>
      <c r="AM53" s="38"/>
      <c r="AN53" s="38"/>
      <c r="AO53" s="38"/>
      <c r="AP53" s="38"/>
      <c r="AQ53" s="45">
        <f t="shared" si="102"/>
        <v>0</v>
      </c>
      <c r="AR53" s="45"/>
      <c r="AS53" s="46">
        <f t="shared" si="13"/>
        <v>0</v>
      </c>
      <c r="AT53" s="41">
        <f t="shared" si="14"/>
        <v>0</v>
      </c>
      <c r="AU53" s="41">
        <f t="shared" si="15"/>
        <v>0</v>
      </c>
      <c r="AV53" s="47"/>
      <c r="AW53" s="47"/>
      <c r="AX53" s="47"/>
      <c r="AY53" s="47"/>
      <c r="AZ53" s="47"/>
      <c r="BA53" s="47"/>
      <c r="BB53" s="47"/>
      <c r="BC53" s="47"/>
      <c r="BD53" s="47"/>
      <c r="BE53" s="47"/>
      <c r="BF53" s="47"/>
      <c r="BG53" s="47"/>
      <c r="BH53" s="47"/>
      <c r="BI53" s="47"/>
      <c r="BJ53" s="47"/>
      <c r="BK53" s="47"/>
      <c r="BL53" s="47"/>
      <c r="BM53" s="47">
        <f t="shared" si="96"/>
        <v>0</v>
      </c>
      <c r="BN53" s="92">
        <f t="shared" si="17"/>
        <v>0</v>
      </c>
      <c r="BO53" s="82">
        <f>IF($B53=BQ$20,'Construction Costs_2022'!$K$84+'Construction Costs_2022'!$K$7,0)</f>
        <v>0</v>
      </c>
      <c r="BP53" s="38">
        <f t="shared" si="18"/>
        <v>0</v>
      </c>
      <c r="BQ53" s="38"/>
      <c r="BR53" s="45"/>
      <c r="BS53" s="46">
        <f t="shared" si="97"/>
        <v>0</v>
      </c>
      <c r="BT53" s="41">
        <f t="shared" si="20"/>
        <v>0</v>
      </c>
      <c r="BU53" s="41">
        <f t="shared" si="20"/>
        <v>0</v>
      </c>
      <c r="BV53" s="47">
        <f t="shared" si="20"/>
        <v>0</v>
      </c>
      <c r="BW53" s="47">
        <f t="shared" si="20"/>
        <v>0</v>
      </c>
      <c r="BX53" s="92">
        <f t="shared" si="52"/>
        <v>0</v>
      </c>
      <c r="BY53" s="82">
        <f>IF($B53=CA$20,'Construction Costs_2022'!$K$104+'Construction Costs_2022'!$K$7,0)</f>
        <v>0</v>
      </c>
      <c r="BZ53" s="38">
        <f t="shared" si="21"/>
        <v>0</v>
      </c>
      <c r="CA53" s="38"/>
      <c r="CB53" s="45"/>
      <c r="CC53" s="46">
        <f t="shared" si="98"/>
        <v>0</v>
      </c>
      <c r="CD53" s="41">
        <f t="shared" si="23"/>
        <v>0</v>
      </c>
      <c r="CE53" s="41">
        <f t="shared" si="23"/>
        <v>0</v>
      </c>
      <c r="CF53" s="47">
        <f t="shared" si="23"/>
        <v>0</v>
      </c>
      <c r="CG53" s="47">
        <f t="shared" si="23"/>
        <v>0</v>
      </c>
      <c r="CH53" s="92">
        <f t="shared" si="53"/>
        <v>0</v>
      </c>
      <c r="CI53" s="82">
        <f>IF($B53=DA$20,'OBC Cost _Van Oord 2022'!$E$30,0)</f>
        <v>0</v>
      </c>
      <c r="CJ53" s="38">
        <f t="shared" si="54"/>
        <v>0</v>
      </c>
      <c r="CK53" s="38"/>
      <c r="CL53" s="38"/>
      <c r="CM53" s="38"/>
      <c r="CN53" s="38"/>
      <c r="CO53" s="38"/>
      <c r="CP53" s="38"/>
      <c r="CQ53" s="38"/>
      <c r="CR53" s="38"/>
      <c r="CS53" s="38"/>
      <c r="CT53" s="38"/>
      <c r="CU53" s="38"/>
      <c r="CV53" s="38"/>
      <c r="CW53" s="38"/>
      <c r="CX53" s="38"/>
      <c r="CY53" s="38"/>
      <c r="CZ53" s="38"/>
      <c r="DA53" s="38"/>
      <c r="DB53" s="45">
        <f t="shared" si="103"/>
        <v>0</v>
      </c>
      <c r="DC53" s="45"/>
      <c r="DD53" s="46">
        <f t="shared" si="25"/>
        <v>0</v>
      </c>
      <c r="DE53" s="41">
        <f t="shared" si="99"/>
        <v>0</v>
      </c>
      <c r="DF53" s="41">
        <f t="shared" si="27"/>
        <v>0</v>
      </c>
      <c r="DG53" s="47"/>
      <c r="DH53" s="47"/>
      <c r="DI53" s="47"/>
      <c r="DJ53" s="47"/>
      <c r="DK53" s="47"/>
      <c r="DL53" s="47"/>
      <c r="DM53" s="47"/>
      <c r="DN53" s="47"/>
      <c r="DO53" s="47"/>
      <c r="DP53" s="47"/>
      <c r="DQ53" s="47"/>
      <c r="DR53" s="47"/>
      <c r="DS53" s="47"/>
      <c r="DT53" s="47"/>
      <c r="DU53" s="47"/>
      <c r="DV53" s="47"/>
      <c r="DW53" s="47"/>
      <c r="DX53" s="47">
        <f t="shared" si="101"/>
        <v>0</v>
      </c>
      <c r="DY53" s="92">
        <f t="shared" si="29"/>
        <v>0</v>
      </c>
    </row>
    <row r="54" spans="2:129" s="3" customFormat="1" ht="12.75" x14ac:dyDescent="0.2">
      <c r="B54" s="12">
        <f t="shared" si="30"/>
        <v>29</v>
      </c>
      <c r="C54" s="13">
        <f t="shared" si="31"/>
        <v>0.36874815497338298</v>
      </c>
      <c r="D54" s="82">
        <f>IF($B54=F$20,'Construction Costs_2022'!$K$22+'Construction Costs_2022'!$K$7,0)</f>
        <v>0</v>
      </c>
      <c r="E54" s="38">
        <f t="shared" si="32"/>
        <v>28800</v>
      </c>
      <c r="F54" s="38"/>
      <c r="G54" s="45"/>
      <c r="H54" s="46">
        <f t="shared" si="10"/>
        <v>28800</v>
      </c>
      <c r="I54" s="41">
        <f t="shared" si="11"/>
        <v>0</v>
      </c>
      <c r="J54" s="41">
        <f t="shared" si="11"/>
        <v>10619.94686323343</v>
      </c>
      <c r="K54" s="47">
        <f t="shared" si="11"/>
        <v>0</v>
      </c>
      <c r="L54" s="47">
        <f t="shared" si="11"/>
        <v>0</v>
      </c>
      <c r="M54" s="92">
        <f t="shared" si="33"/>
        <v>10619.94686323343</v>
      </c>
      <c r="N54" s="91">
        <f>IF($B54=P$20,'Construction Costs_2022'!$K$43+'Construction Costs_2022'!$K$7,0)</f>
        <v>0</v>
      </c>
      <c r="O54" s="38">
        <f t="shared" si="34"/>
        <v>43200</v>
      </c>
      <c r="P54" s="38"/>
      <c r="Q54" s="45"/>
      <c r="R54" s="46">
        <f t="shared" si="35"/>
        <v>43200</v>
      </c>
      <c r="S54" s="41">
        <f t="shared" si="105"/>
        <v>0</v>
      </c>
      <c r="T54" s="41">
        <f t="shared" si="105"/>
        <v>15929.920294850144</v>
      </c>
      <c r="U54" s="47">
        <f t="shared" si="104"/>
        <v>0</v>
      </c>
      <c r="V54" s="47">
        <f t="shared" si="106"/>
        <v>0</v>
      </c>
      <c r="W54" s="92">
        <f t="shared" si="36"/>
        <v>15929.920294850144</v>
      </c>
      <c r="X54" s="82">
        <f>IF($B54=AP$20,'OBC Cost _Van Oord 2022'!$E$30,0)</f>
        <v>0</v>
      </c>
      <c r="Y54" s="38">
        <f t="shared" si="37"/>
        <v>0</v>
      </c>
      <c r="Z54" s="38"/>
      <c r="AA54" s="38"/>
      <c r="AB54" s="38"/>
      <c r="AC54" s="38"/>
      <c r="AD54" s="38"/>
      <c r="AE54" s="38"/>
      <c r="AF54" s="38"/>
      <c r="AG54" s="38"/>
      <c r="AH54" s="38"/>
      <c r="AI54" s="38"/>
      <c r="AJ54" s="38"/>
      <c r="AK54" s="38"/>
      <c r="AL54" s="38"/>
      <c r="AM54" s="38"/>
      <c r="AN54" s="38"/>
      <c r="AO54" s="38"/>
      <c r="AP54" s="38"/>
      <c r="AQ54" s="45">
        <f t="shared" si="102"/>
        <v>0</v>
      </c>
      <c r="AR54" s="45"/>
      <c r="AS54" s="46">
        <f t="shared" si="13"/>
        <v>0</v>
      </c>
      <c r="AT54" s="41">
        <f t="shared" si="14"/>
        <v>0</v>
      </c>
      <c r="AU54" s="41">
        <f t="shared" si="15"/>
        <v>0</v>
      </c>
      <c r="AV54" s="47"/>
      <c r="AW54" s="47"/>
      <c r="AX54" s="47"/>
      <c r="AY54" s="47"/>
      <c r="AZ54" s="47"/>
      <c r="BA54" s="47"/>
      <c r="BB54" s="47"/>
      <c r="BC54" s="47"/>
      <c r="BD54" s="47"/>
      <c r="BE54" s="47"/>
      <c r="BF54" s="47"/>
      <c r="BG54" s="47"/>
      <c r="BH54" s="47"/>
      <c r="BI54" s="47"/>
      <c r="BJ54" s="47"/>
      <c r="BK54" s="47"/>
      <c r="BL54" s="47"/>
      <c r="BM54" s="47">
        <f t="shared" si="96"/>
        <v>0</v>
      </c>
      <c r="BN54" s="92">
        <f t="shared" si="17"/>
        <v>0</v>
      </c>
      <c r="BO54" s="82">
        <f>IF($B54=BQ$20,'Construction Costs_2022'!$K$84+'Construction Costs_2022'!$K$7,0)</f>
        <v>0</v>
      </c>
      <c r="BP54" s="38">
        <f t="shared" si="18"/>
        <v>0</v>
      </c>
      <c r="BQ54" s="38"/>
      <c r="BR54" s="45"/>
      <c r="BS54" s="46">
        <f t="shared" si="97"/>
        <v>0</v>
      </c>
      <c r="BT54" s="41">
        <f t="shared" si="20"/>
        <v>0</v>
      </c>
      <c r="BU54" s="41">
        <f t="shared" si="20"/>
        <v>0</v>
      </c>
      <c r="BV54" s="47">
        <f t="shared" si="20"/>
        <v>0</v>
      </c>
      <c r="BW54" s="47">
        <f t="shared" si="20"/>
        <v>0</v>
      </c>
      <c r="BX54" s="92">
        <f t="shared" si="52"/>
        <v>0</v>
      </c>
      <c r="BY54" s="82">
        <f>IF($B54=CA$20,'Construction Costs_2022'!$K$104+'Construction Costs_2022'!$K$7,0)</f>
        <v>0</v>
      </c>
      <c r="BZ54" s="38">
        <f t="shared" si="21"/>
        <v>0</v>
      </c>
      <c r="CA54" s="38"/>
      <c r="CB54" s="45"/>
      <c r="CC54" s="46">
        <f t="shared" si="98"/>
        <v>0</v>
      </c>
      <c r="CD54" s="41">
        <f t="shared" si="23"/>
        <v>0</v>
      </c>
      <c r="CE54" s="41">
        <f t="shared" si="23"/>
        <v>0</v>
      </c>
      <c r="CF54" s="47">
        <f t="shared" si="23"/>
        <v>0</v>
      </c>
      <c r="CG54" s="47">
        <f t="shared" si="23"/>
        <v>0</v>
      </c>
      <c r="CH54" s="92">
        <f t="shared" si="53"/>
        <v>0</v>
      </c>
      <c r="CI54" s="82">
        <f>IF($B54=DA$20,'OBC Cost _Van Oord 2022'!$E$30,0)</f>
        <v>0</v>
      </c>
      <c r="CJ54" s="38">
        <f t="shared" si="54"/>
        <v>0</v>
      </c>
      <c r="CK54" s="38"/>
      <c r="CL54" s="38"/>
      <c r="CM54" s="38"/>
      <c r="CN54" s="38"/>
      <c r="CO54" s="38"/>
      <c r="CP54" s="38"/>
      <c r="CQ54" s="38"/>
      <c r="CR54" s="38"/>
      <c r="CS54" s="38"/>
      <c r="CT54" s="38"/>
      <c r="CU54" s="38"/>
      <c r="CV54" s="38"/>
      <c r="CW54" s="38"/>
      <c r="CX54" s="38"/>
      <c r="CY54" s="38"/>
      <c r="CZ54" s="38"/>
      <c r="DA54" s="38"/>
      <c r="DB54" s="45">
        <f t="shared" si="103"/>
        <v>0</v>
      </c>
      <c r="DC54" s="45"/>
      <c r="DD54" s="46">
        <f t="shared" si="25"/>
        <v>0</v>
      </c>
      <c r="DE54" s="41">
        <f t="shared" si="99"/>
        <v>0</v>
      </c>
      <c r="DF54" s="41">
        <f t="shared" si="27"/>
        <v>0</v>
      </c>
      <c r="DG54" s="47"/>
      <c r="DH54" s="47"/>
      <c r="DI54" s="47"/>
      <c r="DJ54" s="47"/>
      <c r="DK54" s="47"/>
      <c r="DL54" s="47"/>
      <c r="DM54" s="47"/>
      <c r="DN54" s="47"/>
      <c r="DO54" s="47"/>
      <c r="DP54" s="47"/>
      <c r="DQ54" s="47"/>
      <c r="DR54" s="47"/>
      <c r="DS54" s="47"/>
      <c r="DT54" s="47"/>
      <c r="DU54" s="47"/>
      <c r="DV54" s="47"/>
      <c r="DW54" s="47"/>
      <c r="DX54" s="47">
        <f t="shared" si="101"/>
        <v>0</v>
      </c>
      <c r="DY54" s="92">
        <f t="shared" si="29"/>
        <v>0</v>
      </c>
    </row>
    <row r="55" spans="2:129" s="3" customFormat="1" ht="12.75" x14ac:dyDescent="0.2">
      <c r="B55" s="12">
        <f t="shared" si="30"/>
        <v>30</v>
      </c>
      <c r="C55" s="13">
        <f t="shared" si="31"/>
        <v>0.35627841060230242</v>
      </c>
      <c r="D55" s="82">
        <f>IF($B55=F$20,'Construction Costs_2022'!$K$22+'Construction Costs_2022'!$K$7,0)</f>
        <v>0</v>
      </c>
      <c r="E55" s="38">
        <f t="shared" si="32"/>
        <v>28800</v>
      </c>
      <c r="F55" s="38"/>
      <c r="G55" s="45"/>
      <c r="H55" s="46">
        <f t="shared" si="10"/>
        <v>28800</v>
      </c>
      <c r="I55" s="41">
        <f t="shared" si="11"/>
        <v>0</v>
      </c>
      <c r="J55" s="41">
        <f t="shared" si="11"/>
        <v>10260.818225346309</v>
      </c>
      <c r="K55" s="47">
        <f t="shared" si="11"/>
        <v>0</v>
      </c>
      <c r="L55" s="47">
        <f t="shared" si="11"/>
        <v>0</v>
      </c>
      <c r="M55" s="92">
        <f t="shared" si="33"/>
        <v>10260.818225346309</v>
      </c>
      <c r="N55" s="91">
        <f>IF($B55=P$20,'Construction Costs_2022'!$K$43+'Construction Costs_2022'!$K$7,0)</f>
        <v>0</v>
      </c>
      <c r="O55" s="38">
        <f t="shared" si="34"/>
        <v>43200</v>
      </c>
      <c r="P55" s="38"/>
      <c r="Q55" s="45"/>
      <c r="R55" s="46">
        <f t="shared" si="35"/>
        <v>43200</v>
      </c>
      <c r="S55" s="41">
        <f t="shared" si="105"/>
        <v>0</v>
      </c>
      <c r="T55" s="41">
        <f t="shared" si="105"/>
        <v>15391.227338019464</v>
      </c>
      <c r="U55" s="47">
        <f t="shared" si="104"/>
        <v>0</v>
      </c>
      <c r="V55" s="47">
        <f t="shared" si="106"/>
        <v>0</v>
      </c>
      <c r="W55" s="92">
        <f t="shared" si="36"/>
        <v>15391.227338019464</v>
      </c>
      <c r="X55" s="82">
        <f>IF($B55=AP$20,'OBC Cost _Van Oord 2022'!$E$30,0)</f>
        <v>0</v>
      </c>
      <c r="Y55" s="38">
        <f t="shared" si="37"/>
        <v>0</v>
      </c>
      <c r="Z55" s="38"/>
      <c r="AA55" s="38"/>
      <c r="AB55" s="38"/>
      <c r="AC55" s="38"/>
      <c r="AD55" s="38"/>
      <c r="AE55" s="38"/>
      <c r="AF55" s="38"/>
      <c r="AG55" s="38"/>
      <c r="AH55" s="38"/>
      <c r="AI55" s="38"/>
      <c r="AJ55" s="38"/>
      <c r="AK55" s="38"/>
      <c r="AL55" s="38"/>
      <c r="AM55" s="38"/>
      <c r="AN55" s="38"/>
      <c r="AO55" s="38"/>
      <c r="AP55" s="38"/>
      <c r="AQ55" s="45">
        <f t="shared" si="102"/>
        <v>0</v>
      </c>
      <c r="AR55" s="45"/>
      <c r="AS55" s="46">
        <f t="shared" si="13"/>
        <v>0</v>
      </c>
      <c r="AT55" s="41">
        <f t="shared" si="14"/>
        <v>0</v>
      </c>
      <c r="AU55" s="41">
        <f t="shared" si="15"/>
        <v>0</v>
      </c>
      <c r="AV55" s="47"/>
      <c r="AW55" s="47"/>
      <c r="AX55" s="47"/>
      <c r="AY55" s="47"/>
      <c r="AZ55" s="47"/>
      <c r="BA55" s="47"/>
      <c r="BB55" s="47"/>
      <c r="BC55" s="47"/>
      <c r="BD55" s="47"/>
      <c r="BE55" s="47"/>
      <c r="BF55" s="47"/>
      <c r="BG55" s="47"/>
      <c r="BH55" s="47"/>
      <c r="BI55" s="47"/>
      <c r="BJ55" s="47"/>
      <c r="BK55" s="47"/>
      <c r="BL55" s="47"/>
      <c r="BM55" s="47">
        <f t="shared" si="96"/>
        <v>0</v>
      </c>
      <c r="BN55" s="92">
        <f t="shared" si="17"/>
        <v>0</v>
      </c>
      <c r="BO55" s="82">
        <f>IF($B55=BQ$20,'Construction Costs_2022'!$K$84+'Construction Costs_2022'!$K$7,0)</f>
        <v>0</v>
      </c>
      <c r="BP55" s="38">
        <f t="shared" si="18"/>
        <v>0</v>
      </c>
      <c r="BQ55" s="38"/>
      <c r="BR55" s="45"/>
      <c r="BS55" s="46">
        <f t="shared" si="97"/>
        <v>0</v>
      </c>
      <c r="BT55" s="41">
        <f t="shared" si="20"/>
        <v>0</v>
      </c>
      <c r="BU55" s="41">
        <f t="shared" si="20"/>
        <v>0</v>
      </c>
      <c r="BV55" s="47">
        <f t="shared" si="20"/>
        <v>0</v>
      </c>
      <c r="BW55" s="47">
        <f t="shared" si="20"/>
        <v>0</v>
      </c>
      <c r="BX55" s="92">
        <f t="shared" si="52"/>
        <v>0</v>
      </c>
      <c r="BY55" s="82">
        <f>IF($B55=CA$20,'Construction Costs_2022'!$K$104+'Construction Costs_2022'!$K$7,0)</f>
        <v>0</v>
      </c>
      <c r="BZ55" s="38">
        <f t="shared" si="21"/>
        <v>0</v>
      </c>
      <c r="CA55" s="38"/>
      <c r="CB55" s="45"/>
      <c r="CC55" s="46">
        <f t="shared" si="98"/>
        <v>0</v>
      </c>
      <c r="CD55" s="41">
        <f t="shared" si="23"/>
        <v>0</v>
      </c>
      <c r="CE55" s="41">
        <f t="shared" si="23"/>
        <v>0</v>
      </c>
      <c r="CF55" s="47">
        <f t="shared" si="23"/>
        <v>0</v>
      </c>
      <c r="CG55" s="47">
        <f t="shared" si="23"/>
        <v>0</v>
      </c>
      <c r="CH55" s="92">
        <f t="shared" si="53"/>
        <v>0</v>
      </c>
      <c r="CI55" s="82">
        <f>IF($B55=DA$20,'OBC Cost _Van Oord 2022'!$E$30,0)</f>
        <v>0</v>
      </c>
      <c r="CJ55" s="38">
        <f t="shared" si="54"/>
        <v>0</v>
      </c>
      <c r="CK55" s="38"/>
      <c r="CL55" s="38"/>
      <c r="CM55" s="38"/>
      <c r="CN55" s="38"/>
      <c r="CO55" s="38"/>
      <c r="CP55" s="38"/>
      <c r="CQ55" s="38"/>
      <c r="CR55" s="38"/>
      <c r="CS55" s="38"/>
      <c r="CT55" s="38"/>
      <c r="CU55" s="38"/>
      <c r="CV55" s="38"/>
      <c r="CW55" s="38"/>
      <c r="CX55" s="38"/>
      <c r="CY55" s="38"/>
      <c r="CZ55" s="38"/>
      <c r="DA55" s="38"/>
      <c r="DB55" s="45">
        <f t="shared" si="103"/>
        <v>0</v>
      </c>
      <c r="DC55" s="45"/>
      <c r="DD55" s="46">
        <f t="shared" si="25"/>
        <v>0</v>
      </c>
      <c r="DE55" s="41">
        <f t="shared" si="99"/>
        <v>0</v>
      </c>
      <c r="DF55" s="41">
        <f t="shared" si="27"/>
        <v>0</v>
      </c>
      <c r="DG55" s="47"/>
      <c r="DH55" s="47"/>
      <c r="DI55" s="47"/>
      <c r="DJ55" s="47"/>
      <c r="DK55" s="47"/>
      <c r="DL55" s="47"/>
      <c r="DM55" s="47"/>
      <c r="DN55" s="47"/>
      <c r="DO55" s="47"/>
      <c r="DP55" s="47"/>
      <c r="DQ55" s="47"/>
      <c r="DR55" s="47"/>
      <c r="DS55" s="47"/>
      <c r="DT55" s="47"/>
      <c r="DU55" s="47"/>
      <c r="DV55" s="47"/>
      <c r="DW55" s="47"/>
      <c r="DX55" s="47">
        <f t="shared" si="101"/>
        <v>0</v>
      </c>
      <c r="DY55" s="92">
        <f t="shared" si="29"/>
        <v>0</v>
      </c>
    </row>
    <row r="56" spans="2:129" s="3" customFormat="1" ht="12.75" x14ac:dyDescent="0.2">
      <c r="B56" s="12">
        <f t="shared" si="30"/>
        <v>31</v>
      </c>
      <c r="C56" s="13">
        <f t="shared" ref="C56:C100" si="107">C55/(1+$E$9-0.5%)</f>
        <v>0.34590136951679845</v>
      </c>
      <c r="D56" s="82">
        <f>IF($B56=F$20,'Construction Costs_2022'!$K$22+'Construction Costs_2022'!$K$7,0)</f>
        <v>0</v>
      </c>
      <c r="E56" s="38">
        <f t="shared" si="32"/>
        <v>28800</v>
      </c>
      <c r="F56" s="38"/>
      <c r="G56" s="45"/>
      <c r="H56" s="46">
        <f t="shared" si="10"/>
        <v>28800</v>
      </c>
      <c r="I56" s="41">
        <f t="shared" si="11"/>
        <v>0</v>
      </c>
      <c r="J56" s="41">
        <f t="shared" si="11"/>
        <v>9961.9594420837948</v>
      </c>
      <c r="K56" s="47">
        <f t="shared" si="11"/>
        <v>0</v>
      </c>
      <c r="L56" s="47">
        <f t="shared" si="11"/>
        <v>0</v>
      </c>
      <c r="M56" s="92">
        <f t="shared" si="33"/>
        <v>9961.9594420837948</v>
      </c>
      <c r="N56" s="91">
        <f>IF($B56=P$20,'Construction Costs_2022'!$K$43+'Construction Costs_2022'!$K$7,0)</f>
        <v>0</v>
      </c>
      <c r="O56" s="38">
        <f t="shared" si="34"/>
        <v>43200</v>
      </c>
      <c r="P56" s="38"/>
      <c r="Q56" s="45"/>
      <c r="R56" s="46">
        <f t="shared" si="35"/>
        <v>43200</v>
      </c>
      <c r="S56" s="41">
        <f t="shared" si="105"/>
        <v>0</v>
      </c>
      <c r="T56" s="41">
        <f t="shared" si="105"/>
        <v>14942.939163125693</v>
      </c>
      <c r="U56" s="47">
        <f t="shared" si="104"/>
        <v>0</v>
      </c>
      <c r="V56" s="47">
        <f t="shared" si="106"/>
        <v>0</v>
      </c>
      <c r="W56" s="92">
        <f t="shared" si="36"/>
        <v>14942.939163125693</v>
      </c>
      <c r="X56" s="82">
        <f>IF($B56=AP$20,'OBC Cost _Van Oord 2022'!$E$30,0)</f>
        <v>0</v>
      </c>
      <c r="Y56" s="38">
        <f t="shared" si="37"/>
        <v>0</v>
      </c>
      <c r="Z56" s="38"/>
      <c r="AA56" s="38"/>
      <c r="AB56" s="38"/>
      <c r="AC56" s="38"/>
      <c r="AD56" s="38"/>
      <c r="AE56" s="38"/>
      <c r="AF56" s="38"/>
      <c r="AG56" s="38"/>
      <c r="AH56" s="38"/>
      <c r="AI56" s="38"/>
      <c r="AJ56" s="38"/>
      <c r="AK56" s="38"/>
      <c r="AL56" s="38"/>
      <c r="AM56" s="38"/>
      <c r="AN56" s="38"/>
      <c r="AO56" s="38"/>
      <c r="AP56" s="38"/>
      <c r="AQ56" s="45">
        <f t="shared" si="102"/>
        <v>0</v>
      </c>
      <c r="AR56" s="45"/>
      <c r="AS56" s="46">
        <f t="shared" si="13"/>
        <v>0</v>
      </c>
      <c r="AT56" s="41">
        <f t="shared" si="14"/>
        <v>0</v>
      </c>
      <c r="AU56" s="41">
        <f t="shared" si="15"/>
        <v>0</v>
      </c>
      <c r="AV56" s="47"/>
      <c r="AW56" s="47"/>
      <c r="AX56" s="47"/>
      <c r="AY56" s="47"/>
      <c r="AZ56" s="47"/>
      <c r="BA56" s="47"/>
      <c r="BB56" s="47"/>
      <c r="BC56" s="47"/>
      <c r="BD56" s="47"/>
      <c r="BE56" s="47"/>
      <c r="BF56" s="47"/>
      <c r="BG56" s="47"/>
      <c r="BH56" s="47"/>
      <c r="BI56" s="47"/>
      <c r="BJ56" s="47"/>
      <c r="BK56" s="47"/>
      <c r="BL56" s="47"/>
      <c r="BM56" s="47">
        <f t="shared" si="96"/>
        <v>0</v>
      </c>
      <c r="BN56" s="92">
        <f t="shared" si="17"/>
        <v>0</v>
      </c>
      <c r="BO56" s="82">
        <f>IF($B56=BQ$20,'Construction Costs_2022'!$K$84+'Construction Costs_2022'!$K$7,0)</f>
        <v>0</v>
      </c>
      <c r="BP56" s="38">
        <f t="shared" si="18"/>
        <v>0</v>
      </c>
      <c r="BQ56" s="38"/>
      <c r="BR56" s="45"/>
      <c r="BS56" s="46">
        <f t="shared" si="97"/>
        <v>0</v>
      </c>
      <c r="BT56" s="41">
        <f t="shared" si="20"/>
        <v>0</v>
      </c>
      <c r="BU56" s="41">
        <f t="shared" si="20"/>
        <v>0</v>
      </c>
      <c r="BV56" s="47">
        <f t="shared" si="20"/>
        <v>0</v>
      </c>
      <c r="BW56" s="47">
        <f t="shared" si="20"/>
        <v>0</v>
      </c>
      <c r="BX56" s="92">
        <f t="shared" si="52"/>
        <v>0</v>
      </c>
      <c r="BY56" s="82">
        <f>IF($B56=CA$20,'Construction Costs_2022'!$K$104+'Construction Costs_2022'!$K$7,0)</f>
        <v>0</v>
      </c>
      <c r="BZ56" s="38">
        <f t="shared" si="21"/>
        <v>0</v>
      </c>
      <c r="CA56" s="38"/>
      <c r="CB56" s="45"/>
      <c r="CC56" s="46">
        <f t="shared" si="98"/>
        <v>0</v>
      </c>
      <c r="CD56" s="41">
        <f t="shared" si="23"/>
        <v>0</v>
      </c>
      <c r="CE56" s="41">
        <f t="shared" si="23"/>
        <v>0</v>
      </c>
      <c r="CF56" s="47">
        <f t="shared" si="23"/>
        <v>0</v>
      </c>
      <c r="CG56" s="47">
        <f t="shared" si="23"/>
        <v>0</v>
      </c>
      <c r="CH56" s="92">
        <f t="shared" si="53"/>
        <v>0</v>
      </c>
      <c r="CI56" s="82">
        <f>IF($B56=DA$20,'OBC Cost _Van Oord 2022'!$E$30,0)</f>
        <v>0</v>
      </c>
      <c r="CJ56" s="38">
        <f t="shared" si="54"/>
        <v>0</v>
      </c>
      <c r="CK56" s="38"/>
      <c r="CL56" s="38"/>
      <c r="CM56" s="38"/>
      <c r="CN56" s="38"/>
      <c r="CO56" s="38"/>
      <c r="CP56" s="38"/>
      <c r="CQ56" s="38"/>
      <c r="CR56" s="38"/>
      <c r="CS56" s="38"/>
      <c r="CT56" s="38"/>
      <c r="CU56" s="38"/>
      <c r="CV56" s="38"/>
      <c r="CW56" s="38"/>
      <c r="CX56" s="38"/>
      <c r="CY56" s="38"/>
      <c r="CZ56" s="38"/>
      <c r="DA56" s="38"/>
      <c r="DB56" s="45">
        <f t="shared" si="103"/>
        <v>0</v>
      </c>
      <c r="DC56" s="45"/>
      <c r="DD56" s="46">
        <f t="shared" si="25"/>
        <v>0</v>
      </c>
      <c r="DE56" s="41">
        <f t="shared" si="99"/>
        <v>0</v>
      </c>
      <c r="DF56" s="41">
        <f t="shared" si="27"/>
        <v>0</v>
      </c>
      <c r="DG56" s="47"/>
      <c r="DH56" s="47"/>
      <c r="DI56" s="47"/>
      <c r="DJ56" s="47"/>
      <c r="DK56" s="47"/>
      <c r="DL56" s="47"/>
      <c r="DM56" s="47"/>
      <c r="DN56" s="47"/>
      <c r="DO56" s="47"/>
      <c r="DP56" s="47"/>
      <c r="DQ56" s="47"/>
      <c r="DR56" s="47"/>
      <c r="DS56" s="47"/>
      <c r="DT56" s="47"/>
      <c r="DU56" s="47"/>
      <c r="DV56" s="47"/>
      <c r="DW56" s="47"/>
      <c r="DX56" s="47">
        <f t="shared" si="101"/>
        <v>0</v>
      </c>
      <c r="DY56" s="92">
        <f t="shared" si="29"/>
        <v>0</v>
      </c>
    </row>
    <row r="57" spans="2:129" s="3" customFormat="1" ht="12.75" x14ac:dyDescent="0.2">
      <c r="B57" s="12">
        <f t="shared" si="30"/>
        <v>32</v>
      </c>
      <c r="C57" s="13">
        <f t="shared" si="107"/>
        <v>0.33582657234640628</v>
      </c>
      <c r="D57" s="82">
        <f>IF($B57=F$20,'Construction Costs_2022'!$K$22+'Construction Costs_2022'!$K$7,0)</f>
        <v>0</v>
      </c>
      <c r="E57" s="38">
        <f t="shared" si="32"/>
        <v>1401900</v>
      </c>
      <c r="F57" s="38"/>
      <c r="G57" s="45"/>
      <c r="H57" s="46">
        <f t="shared" ref="H57:H120" si="108">SUM(D57:G57)</f>
        <v>1401900</v>
      </c>
      <c r="I57" s="41">
        <f t="shared" ref="I57:L88" si="109">D57*$C57</f>
        <v>0</v>
      </c>
      <c r="J57" s="41">
        <f>E57*$C57</f>
        <v>470795.27177242696</v>
      </c>
      <c r="K57" s="47">
        <f t="shared" si="109"/>
        <v>0</v>
      </c>
      <c r="L57" s="47">
        <f t="shared" si="109"/>
        <v>0</v>
      </c>
      <c r="M57" s="92">
        <f t="shared" si="33"/>
        <v>470795.27177242696</v>
      </c>
      <c r="N57" s="91">
        <f>IF($B57=P$20,'Construction Costs_2022'!$K$43+'Construction Costs_2022'!$K$7,0)</f>
        <v>0</v>
      </c>
      <c r="O57" s="38">
        <f t="shared" si="34"/>
        <v>1307840</v>
      </c>
      <c r="P57" s="38"/>
      <c r="Q57" s="45"/>
      <c r="R57" s="46">
        <f t="shared" ref="R57:R120" si="110">SUM(N57:Q57)</f>
        <v>1307840</v>
      </c>
      <c r="S57" s="41">
        <f t="shared" si="105"/>
        <v>0</v>
      </c>
      <c r="T57" s="41">
        <f>O57*$C57</f>
        <v>439207.424377524</v>
      </c>
      <c r="U57" s="47">
        <f t="shared" si="104"/>
        <v>0</v>
      </c>
      <c r="V57" s="47">
        <f t="shared" si="106"/>
        <v>0</v>
      </c>
      <c r="W57" s="92">
        <f t="shared" si="36"/>
        <v>439207.424377524</v>
      </c>
      <c r="X57" s="82">
        <f>IF($B57=AP$20,'OBC Cost _Van Oord 2022'!$E$30,0)</f>
        <v>0</v>
      </c>
      <c r="Y57" s="38">
        <f t="shared" si="37"/>
        <v>1019280</v>
      </c>
      <c r="Z57" s="38"/>
      <c r="AA57" s="38"/>
      <c r="AB57" s="38"/>
      <c r="AC57" s="38"/>
      <c r="AD57" s="38"/>
      <c r="AE57" s="38"/>
      <c r="AF57" s="38"/>
      <c r="AG57" s="38"/>
      <c r="AH57" s="38"/>
      <c r="AI57" s="38"/>
      <c r="AJ57" s="38"/>
      <c r="AK57" s="38"/>
      <c r="AL57" s="38"/>
      <c r="AM57" s="38"/>
      <c r="AN57" s="38"/>
      <c r="AO57" s="38"/>
      <c r="AP57" s="38"/>
      <c r="AQ57" s="45">
        <f t="shared" si="102"/>
        <v>265012.8</v>
      </c>
      <c r="AR57" s="45"/>
      <c r="AS57" s="46">
        <f t="shared" ref="AS57:AS88" si="111">SUM(X57:AR57)</f>
        <v>1284292.8</v>
      </c>
      <c r="AT57" s="41">
        <f t="shared" ref="AT57:AT88" si="112">X57*$C57</f>
        <v>0</v>
      </c>
      <c r="AU57" s="41">
        <f t="shared" ref="AU57:AU88" si="113">Y57*$C57</f>
        <v>342301.30866124498</v>
      </c>
      <c r="AV57" s="47"/>
      <c r="AW57" s="47"/>
      <c r="AX57" s="47"/>
      <c r="AY57" s="47"/>
      <c r="AZ57" s="47"/>
      <c r="BA57" s="47"/>
      <c r="BB57" s="47"/>
      <c r="BC57" s="47"/>
      <c r="BD57" s="47"/>
      <c r="BE57" s="47"/>
      <c r="BF57" s="47"/>
      <c r="BG57" s="47"/>
      <c r="BH57" s="47"/>
      <c r="BI57" s="47"/>
      <c r="BJ57" s="47"/>
      <c r="BK57" s="47"/>
      <c r="BL57" s="47"/>
      <c r="BM57" s="47">
        <f t="shared" si="96"/>
        <v>88998.340251923699</v>
      </c>
      <c r="BN57" s="92">
        <f t="shared" ref="BN57:BN88" si="114">SUM(AT57:BM57)</f>
        <v>431299.6489131687</v>
      </c>
      <c r="BO57" s="82">
        <f>IF($B57=BQ$20,'Construction Costs_2022'!$K$84+'Construction Costs_2022'!$K$7,0)</f>
        <v>0</v>
      </c>
      <c r="BP57" s="38">
        <f t="shared" ref="BP57:BP88" si="115">IF(BO57&gt;0,0,SUM(IF(AND(MOD(($B57-BQ$20),BQ$12)=0,$B57&gt;F$20),BR$12,0)+IF(AND(MOD(($B57-F$20),BQ$13)=0,$B57&gt;=F$20),BR$13,0)+IF(AND(MOD(($B57-F$20),BQ$16)=0,$B57&gt;=F$20),BR$16,0)+IF(AND(MOD(($B57-F$20),BQ$17)=0,$B57&gt;=F$20),BR$17,0)+IF(AND(MOD(($B57-F$20),BQ$18)=0,$B57&gt;=F$20),BR$18,0)+IF(AND(MOD(($B57-F$20),BQ$19)=0,$B57&gt;=F$20),BR$19,0)))</f>
        <v>975260</v>
      </c>
      <c r="BQ57" s="38"/>
      <c r="BR57" s="45"/>
      <c r="BS57" s="46">
        <f t="shared" si="97"/>
        <v>975260</v>
      </c>
      <c r="BT57" s="41">
        <f t="shared" si="20"/>
        <v>0</v>
      </c>
      <c r="BU57" s="41">
        <f t="shared" si="20"/>
        <v>327518.22294655617</v>
      </c>
      <c r="BV57" s="47">
        <f t="shared" si="20"/>
        <v>0</v>
      </c>
      <c r="BW57" s="47">
        <f t="shared" si="20"/>
        <v>0</v>
      </c>
      <c r="BX57" s="92">
        <f t="shared" si="52"/>
        <v>327518.22294655617</v>
      </c>
      <c r="BY57" s="82">
        <f>IF($B57=CA$20,'Construction Costs_2022'!$K$104+'Construction Costs_2022'!$K$7,0)</f>
        <v>0</v>
      </c>
      <c r="BZ57" s="38">
        <f t="shared" ref="BZ57:BZ88" si="116">IF(BY57&gt;0,0,SUM(IF(AND(MOD(($B57-CA$20),CA$12)=0,$B57&gt;F$20),CB$12,0)+IF(AND(MOD(($B57-F$20),CA$13)=0,$B57&gt;=F$20),CB$13,0)+IF(AND(MOD(($B57-F$20),CA$16)=0,$B57&gt;=F$20),CB$16,0)+IF(AND(MOD(($B57-F$20),CA$17)=0,$B57&gt;=F$20),CB$17,0)+IF(AND(MOD(($B57-F$20),CA$18)=0,$B57&gt;=F$20),CB$18,0)+IF(AND(MOD(($B57-F$20),CA$19)=0,$B57&gt;=F$20),CB$19,0)))</f>
        <v>1104320</v>
      </c>
      <c r="CA57" s="38"/>
      <c r="CB57" s="45"/>
      <c r="CC57" s="46">
        <f t="shared" si="98"/>
        <v>1104320</v>
      </c>
      <c r="CD57" s="41">
        <f t="shared" si="23"/>
        <v>0</v>
      </c>
      <c r="CE57" s="41">
        <f t="shared" si="23"/>
        <v>370860.0003735834</v>
      </c>
      <c r="CF57" s="47">
        <f t="shared" si="23"/>
        <v>0</v>
      </c>
      <c r="CG57" s="47">
        <f t="shared" si="23"/>
        <v>0</v>
      </c>
      <c r="CH57" s="92">
        <f t="shared" si="53"/>
        <v>370860.0003735834</v>
      </c>
      <c r="CI57" s="82">
        <f>IF($B57=DA$20,'OBC Cost _Van Oord 2022'!$E$30,0)</f>
        <v>0</v>
      </c>
      <c r="CJ57" s="38">
        <f t="shared" si="54"/>
        <v>301530</v>
      </c>
      <c r="CK57" s="38"/>
      <c r="CL57" s="38"/>
      <c r="CM57" s="38"/>
      <c r="CN57" s="38"/>
      <c r="CO57" s="38"/>
      <c r="CP57" s="38"/>
      <c r="CQ57" s="38"/>
      <c r="CR57" s="38"/>
      <c r="CS57" s="38"/>
      <c r="CT57" s="38"/>
      <c r="CU57" s="38"/>
      <c r="CV57" s="38"/>
      <c r="CW57" s="38"/>
      <c r="CX57" s="38"/>
      <c r="CY57" s="38"/>
      <c r="CZ57" s="38"/>
      <c r="DA57" s="38"/>
      <c r="DB57" s="45">
        <f t="shared" si="103"/>
        <v>90459</v>
      </c>
      <c r="DC57" s="45"/>
      <c r="DD57" s="46">
        <f t="shared" ref="DD57:DD120" si="117">SUM(CI57:DC57)</f>
        <v>391989</v>
      </c>
      <c r="DE57" s="41">
        <f t="shared" si="99"/>
        <v>0</v>
      </c>
      <c r="DF57" s="41">
        <f t="shared" si="27"/>
        <v>101261.78635961188</v>
      </c>
      <c r="DG57" s="47"/>
      <c r="DH57" s="47"/>
      <c r="DI57" s="47"/>
      <c r="DJ57" s="47"/>
      <c r="DK57" s="47"/>
      <c r="DL57" s="47"/>
      <c r="DM57" s="47"/>
      <c r="DN57" s="47"/>
      <c r="DO57" s="47"/>
      <c r="DP57" s="47"/>
      <c r="DQ57" s="47"/>
      <c r="DR57" s="47"/>
      <c r="DS57" s="47"/>
      <c r="DT57" s="47"/>
      <c r="DU57" s="47"/>
      <c r="DV57" s="47"/>
      <c r="DW57" s="47"/>
      <c r="DX57" s="47">
        <f t="shared" si="101"/>
        <v>30378.535907883565</v>
      </c>
      <c r="DY57" s="92">
        <f t="shared" ref="DY57:DY120" si="118">SUM(DE57:DX57)</f>
        <v>131640.32226749544</v>
      </c>
    </row>
    <row r="58" spans="2:129" s="3" customFormat="1" ht="12.75" x14ac:dyDescent="0.2">
      <c r="B58" s="12">
        <f t="shared" si="30"/>
        <v>33</v>
      </c>
      <c r="C58" s="13">
        <f t="shared" si="107"/>
        <v>0.32604521587029733</v>
      </c>
      <c r="D58" s="82">
        <f>IF($B58=F$20,'Construction Costs_2022'!$K$22+'Construction Costs_2022'!$K$7,0)</f>
        <v>0</v>
      </c>
      <c r="E58" s="38">
        <f t="shared" si="32"/>
        <v>28800</v>
      </c>
      <c r="F58" s="38"/>
      <c r="G58" s="45"/>
      <c r="H58" s="46">
        <f t="shared" si="108"/>
        <v>28800</v>
      </c>
      <c r="I58" s="41">
        <f t="shared" si="109"/>
        <v>0</v>
      </c>
      <c r="J58" s="41">
        <f t="shared" si="109"/>
        <v>9390.1022170645629</v>
      </c>
      <c r="K58" s="47">
        <f t="shared" si="109"/>
        <v>0</v>
      </c>
      <c r="L58" s="47">
        <f t="shared" si="109"/>
        <v>0</v>
      </c>
      <c r="M58" s="92">
        <f t="shared" si="33"/>
        <v>9390.1022170645629</v>
      </c>
      <c r="N58" s="91">
        <f>IF($B58=P$20,'Construction Costs_2022'!$K$43+'Construction Costs_2022'!$K$7,0)</f>
        <v>0</v>
      </c>
      <c r="O58" s="38">
        <f t="shared" si="34"/>
        <v>43200</v>
      </c>
      <c r="P58" s="38"/>
      <c r="Q58" s="45"/>
      <c r="R58" s="46">
        <f t="shared" si="110"/>
        <v>43200</v>
      </c>
      <c r="S58" s="41">
        <f t="shared" si="105"/>
        <v>0</v>
      </c>
      <c r="T58" s="41">
        <f t="shared" si="105"/>
        <v>14085.153325596844</v>
      </c>
      <c r="U58" s="47">
        <f t="shared" si="104"/>
        <v>0</v>
      </c>
      <c r="V58" s="47">
        <f t="shared" si="106"/>
        <v>0</v>
      </c>
      <c r="W58" s="92">
        <f t="shared" si="36"/>
        <v>14085.153325596844</v>
      </c>
      <c r="X58" s="82">
        <f>IF($B58=AP$20,'OBC Cost _Van Oord 2022'!$E$30,0)</f>
        <v>0</v>
      </c>
      <c r="Y58" s="38">
        <f t="shared" si="37"/>
        <v>0</v>
      </c>
      <c r="Z58" s="38"/>
      <c r="AA58" s="38"/>
      <c r="AB58" s="38"/>
      <c r="AC58" s="38"/>
      <c r="AD58" s="38"/>
      <c r="AE58" s="38"/>
      <c r="AF58" s="38"/>
      <c r="AG58" s="38"/>
      <c r="AH58" s="38"/>
      <c r="AI58" s="38"/>
      <c r="AJ58" s="38"/>
      <c r="AK58" s="38"/>
      <c r="AL58" s="38"/>
      <c r="AM58" s="38"/>
      <c r="AN58" s="38"/>
      <c r="AO58" s="38"/>
      <c r="AP58" s="38"/>
      <c r="AQ58" s="45">
        <f t="shared" si="102"/>
        <v>0</v>
      </c>
      <c r="AR58" s="45"/>
      <c r="AS58" s="46">
        <f t="shared" si="111"/>
        <v>0</v>
      </c>
      <c r="AT58" s="41">
        <f t="shared" si="112"/>
        <v>0</v>
      </c>
      <c r="AU58" s="41">
        <f t="shared" si="113"/>
        <v>0</v>
      </c>
      <c r="AV58" s="47"/>
      <c r="AW58" s="47"/>
      <c r="AX58" s="47"/>
      <c r="AY58" s="47"/>
      <c r="AZ58" s="47"/>
      <c r="BA58" s="47"/>
      <c r="BB58" s="47"/>
      <c r="BC58" s="47"/>
      <c r="BD58" s="47"/>
      <c r="BE58" s="47"/>
      <c r="BF58" s="47"/>
      <c r="BG58" s="47"/>
      <c r="BH58" s="47"/>
      <c r="BI58" s="47"/>
      <c r="BJ58" s="47"/>
      <c r="BK58" s="47"/>
      <c r="BL58" s="47"/>
      <c r="BM58" s="47">
        <f t="shared" si="96"/>
        <v>0</v>
      </c>
      <c r="BN58" s="92">
        <f t="shared" si="114"/>
        <v>0</v>
      </c>
      <c r="BO58" s="82">
        <f>IF($B58=BQ$20,'Construction Costs_2022'!$K$84+'Construction Costs_2022'!$K$7,0)</f>
        <v>0</v>
      </c>
      <c r="BP58" s="38">
        <f t="shared" si="115"/>
        <v>0</v>
      </c>
      <c r="BQ58" s="38"/>
      <c r="BR58" s="45"/>
      <c r="BS58" s="46">
        <f t="shared" si="97"/>
        <v>0</v>
      </c>
      <c r="BT58" s="41">
        <f t="shared" si="20"/>
        <v>0</v>
      </c>
      <c r="BU58" s="41">
        <f t="shared" si="20"/>
        <v>0</v>
      </c>
      <c r="BV58" s="47">
        <f t="shared" si="20"/>
        <v>0</v>
      </c>
      <c r="BW58" s="47">
        <f t="shared" si="20"/>
        <v>0</v>
      </c>
      <c r="BX58" s="92">
        <f t="shared" si="52"/>
        <v>0</v>
      </c>
      <c r="BY58" s="82">
        <f>IF($B58=CA$20,'Construction Costs_2022'!$K$104+'Construction Costs_2022'!$K$7,0)</f>
        <v>0</v>
      </c>
      <c r="BZ58" s="38">
        <f t="shared" si="116"/>
        <v>0</v>
      </c>
      <c r="CA58" s="38"/>
      <c r="CB58" s="45"/>
      <c r="CC58" s="46">
        <f t="shared" si="98"/>
        <v>0</v>
      </c>
      <c r="CD58" s="41">
        <f t="shared" si="23"/>
        <v>0</v>
      </c>
      <c r="CE58" s="41">
        <f t="shared" si="23"/>
        <v>0</v>
      </c>
      <c r="CF58" s="47">
        <f t="shared" si="23"/>
        <v>0</v>
      </c>
      <c r="CG58" s="47">
        <f t="shared" si="23"/>
        <v>0</v>
      </c>
      <c r="CH58" s="92">
        <f t="shared" si="53"/>
        <v>0</v>
      </c>
      <c r="CI58" s="82">
        <f>IF($B58=DA$20,'OBC Cost _Van Oord 2022'!$E$30,0)</f>
        <v>0</v>
      </c>
      <c r="CJ58" s="38">
        <f t="shared" si="54"/>
        <v>0</v>
      </c>
      <c r="CK58" s="38"/>
      <c r="CL58" s="38"/>
      <c r="CM58" s="38"/>
      <c r="CN58" s="38"/>
      <c r="CO58" s="38"/>
      <c r="CP58" s="38"/>
      <c r="CQ58" s="38"/>
      <c r="CR58" s="38"/>
      <c r="CS58" s="38"/>
      <c r="CT58" s="38"/>
      <c r="CU58" s="38"/>
      <c r="CV58" s="38"/>
      <c r="CW58" s="38"/>
      <c r="CX58" s="38"/>
      <c r="CY58" s="38"/>
      <c r="CZ58" s="38"/>
      <c r="DA58" s="38"/>
      <c r="DB58" s="45">
        <f t="shared" si="103"/>
        <v>0</v>
      </c>
      <c r="DC58" s="45"/>
      <c r="DD58" s="46">
        <f t="shared" si="117"/>
        <v>0</v>
      </c>
      <c r="DE58" s="41">
        <f t="shared" si="99"/>
        <v>0</v>
      </c>
      <c r="DF58" s="41">
        <f t="shared" si="27"/>
        <v>0</v>
      </c>
      <c r="DG58" s="47"/>
      <c r="DH58" s="47"/>
      <c r="DI58" s="47"/>
      <c r="DJ58" s="47"/>
      <c r="DK58" s="47"/>
      <c r="DL58" s="47"/>
      <c r="DM58" s="47"/>
      <c r="DN58" s="47"/>
      <c r="DO58" s="47"/>
      <c r="DP58" s="47"/>
      <c r="DQ58" s="47"/>
      <c r="DR58" s="47"/>
      <c r="DS58" s="47"/>
      <c r="DT58" s="47"/>
      <c r="DU58" s="47"/>
      <c r="DV58" s="47"/>
      <c r="DW58" s="47"/>
      <c r="DX58" s="47">
        <f t="shared" si="101"/>
        <v>0</v>
      </c>
      <c r="DY58" s="92">
        <f t="shared" si="118"/>
        <v>0</v>
      </c>
    </row>
    <row r="59" spans="2:129" s="3" customFormat="1" ht="12.75" x14ac:dyDescent="0.2">
      <c r="B59" s="12">
        <f t="shared" si="30"/>
        <v>34</v>
      </c>
      <c r="C59" s="13">
        <f t="shared" si="107"/>
        <v>0.31654875327213333</v>
      </c>
      <c r="D59" s="82">
        <f>IF($B59=F$20,'Construction Costs_2022'!$K$22+'Construction Costs_2022'!$K$7,0)</f>
        <v>0</v>
      </c>
      <c r="E59" s="38">
        <f t="shared" si="32"/>
        <v>28800</v>
      </c>
      <c r="F59" s="38"/>
      <c r="G59" s="45"/>
      <c r="H59" s="46">
        <f t="shared" si="108"/>
        <v>28800</v>
      </c>
      <c r="I59" s="41">
        <f t="shared" si="109"/>
        <v>0</v>
      </c>
      <c r="J59" s="41">
        <f t="shared" si="109"/>
        <v>9116.6040942374402</v>
      </c>
      <c r="K59" s="47">
        <f t="shared" si="109"/>
        <v>0</v>
      </c>
      <c r="L59" s="47">
        <f t="shared" si="109"/>
        <v>0</v>
      </c>
      <c r="M59" s="92">
        <f t="shared" si="33"/>
        <v>9116.6040942374402</v>
      </c>
      <c r="N59" s="91">
        <f>IF($B59=P$20,'Construction Costs_2022'!$K$43+'Construction Costs_2022'!$K$7,0)</f>
        <v>0</v>
      </c>
      <c r="O59" s="38">
        <f t="shared" si="34"/>
        <v>43200</v>
      </c>
      <c r="P59" s="38"/>
      <c r="Q59" s="45"/>
      <c r="R59" s="46">
        <f t="shared" si="110"/>
        <v>43200</v>
      </c>
      <c r="S59" s="41">
        <f t="shared" si="105"/>
        <v>0</v>
      </c>
      <c r="T59" s="41">
        <f t="shared" si="105"/>
        <v>13674.906141356159</v>
      </c>
      <c r="U59" s="47">
        <f t="shared" si="104"/>
        <v>0</v>
      </c>
      <c r="V59" s="47">
        <f t="shared" si="106"/>
        <v>0</v>
      </c>
      <c r="W59" s="92">
        <f t="shared" si="36"/>
        <v>13674.906141356159</v>
      </c>
      <c r="X59" s="82">
        <f>IF($B59=AP$20,'OBC Cost _Van Oord 2022'!$E$30,0)</f>
        <v>0</v>
      </c>
      <c r="Y59" s="38">
        <f t="shared" si="37"/>
        <v>0</v>
      </c>
      <c r="Z59" s="38"/>
      <c r="AA59" s="38"/>
      <c r="AB59" s="38"/>
      <c r="AC59" s="38"/>
      <c r="AD59" s="38"/>
      <c r="AE59" s="38"/>
      <c r="AF59" s="38"/>
      <c r="AG59" s="38"/>
      <c r="AH59" s="38"/>
      <c r="AI59" s="38"/>
      <c r="AJ59" s="38"/>
      <c r="AK59" s="38"/>
      <c r="AL59" s="38"/>
      <c r="AM59" s="38"/>
      <c r="AN59" s="38"/>
      <c r="AO59" s="38"/>
      <c r="AP59" s="38"/>
      <c r="AQ59" s="45">
        <f t="shared" si="102"/>
        <v>0</v>
      </c>
      <c r="AR59" s="45"/>
      <c r="AS59" s="46">
        <f t="shared" si="111"/>
        <v>0</v>
      </c>
      <c r="AT59" s="41">
        <f t="shared" si="112"/>
        <v>0</v>
      </c>
      <c r="AU59" s="41">
        <f t="shared" si="113"/>
        <v>0</v>
      </c>
      <c r="AV59" s="47"/>
      <c r="AW59" s="47"/>
      <c r="AX59" s="47"/>
      <c r="AY59" s="47"/>
      <c r="AZ59" s="47"/>
      <c r="BA59" s="47"/>
      <c r="BB59" s="47"/>
      <c r="BC59" s="47"/>
      <c r="BD59" s="47"/>
      <c r="BE59" s="47"/>
      <c r="BF59" s="47"/>
      <c r="BG59" s="47"/>
      <c r="BH59" s="47"/>
      <c r="BI59" s="47"/>
      <c r="BJ59" s="47"/>
      <c r="BK59" s="47"/>
      <c r="BL59" s="47"/>
      <c r="BM59" s="47">
        <f t="shared" si="96"/>
        <v>0</v>
      </c>
      <c r="BN59" s="92">
        <f t="shared" si="114"/>
        <v>0</v>
      </c>
      <c r="BO59" s="82">
        <f>IF($B59=BQ$20,'Construction Costs_2022'!$K$84+'Construction Costs_2022'!$K$7,0)</f>
        <v>0</v>
      </c>
      <c r="BP59" s="38">
        <f t="shared" si="115"/>
        <v>0</v>
      </c>
      <c r="BQ59" s="38"/>
      <c r="BR59" s="45"/>
      <c r="BS59" s="46">
        <f t="shared" si="97"/>
        <v>0</v>
      </c>
      <c r="BT59" s="41">
        <f t="shared" si="20"/>
        <v>0</v>
      </c>
      <c r="BU59" s="41">
        <f t="shared" si="20"/>
        <v>0</v>
      </c>
      <c r="BV59" s="47">
        <f t="shared" si="20"/>
        <v>0</v>
      </c>
      <c r="BW59" s="47">
        <f t="shared" si="20"/>
        <v>0</v>
      </c>
      <c r="BX59" s="92">
        <f t="shared" si="52"/>
        <v>0</v>
      </c>
      <c r="BY59" s="82">
        <f>IF($B59=CA$20,'Construction Costs_2022'!$K$104+'Construction Costs_2022'!$K$7,0)</f>
        <v>0</v>
      </c>
      <c r="BZ59" s="38">
        <f t="shared" si="116"/>
        <v>0</v>
      </c>
      <c r="CA59" s="38"/>
      <c r="CB59" s="45"/>
      <c r="CC59" s="46">
        <f t="shared" si="98"/>
        <v>0</v>
      </c>
      <c r="CD59" s="41">
        <f t="shared" si="23"/>
        <v>0</v>
      </c>
      <c r="CE59" s="41">
        <f t="shared" si="23"/>
        <v>0</v>
      </c>
      <c r="CF59" s="47">
        <f t="shared" si="23"/>
        <v>0</v>
      </c>
      <c r="CG59" s="47">
        <f t="shared" si="23"/>
        <v>0</v>
      </c>
      <c r="CH59" s="92">
        <f t="shared" si="53"/>
        <v>0</v>
      </c>
      <c r="CI59" s="82">
        <f>IF($B59=DA$20,'OBC Cost _Van Oord 2022'!$E$30,0)</f>
        <v>0</v>
      </c>
      <c r="CJ59" s="38">
        <f t="shared" si="54"/>
        <v>0</v>
      </c>
      <c r="CK59" s="38"/>
      <c r="CL59" s="38"/>
      <c r="CM59" s="38"/>
      <c r="CN59" s="38"/>
      <c r="CO59" s="38"/>
      <c r="CP59" s="38"/>
      <c r="CQ59" s="38"/>
      <c r="CR59" s="38"/>
      <c r="CS59" s="38"/>
      <c r="CT59" s="38"/>
      <c r="CU59" s="38"/>
      <c r="CV59" s="38"/>
      <c r="CW59" s="38"/>
      <c r="CX59" s="38"/>
      <c r="CY59" s="38"/>
      <c r="CZ59" s="38"/>
      <c r="DA59" s="38"/>
      <c r="DB59" s="45">
        <f t="shared" si="103"/>
        <v>0</v>
      </c>
      <c r="DC59" s="45"/>
      <c r="DD59" s="46">
        <f t="shared" si="117"/>
        <v>0</v>
      </c>
      <c r="DE59" s="41">
        <f t="shared" si="99"/>
        <v>0</v>
      </c>
      <c r="DF59" s="41">
        <f t="shared" si="27"/>
        <v>0</v>
      </c>
      <c r="DG59" s="47"/>
      <c r="DH59" s="47"/>
      <c r="DI59" s="47"/>
      <c r="DJ59" s="47"/>
      <c r="DK59" s="47"/>
      <c r="DL59" s="47"/>
      <c r="DM59" s="47"/>
      <c r="DN59" s="47"/>
      <c r="DO59" s="47"/>
      <c r="DP59" s="47"/>
      <c r="DQ59" s="47"/>
      <c r="DR59" s="47"/>
      <c r="DS59" s="47"/>
      <c r="DT59" s="47"/>
      <c r="DU59" s="47"/>
      <c r="DV59" s="47"/>
      <c r="DW59" s="47"/>
      <c r="DX59" s="47">
        <f t="shared" si="101"/>
        <v>0</v>
      </c>
      <c r="DY59" s="92">
        <f t="shared" si="118"/>
        <v>0</v>
      </c>
    </row>
    <row r="60" spans="2:129" s="3" customFormat="1" ht="12.75" x14ac:dyDescent="0.2">
      <c r="B60" s="12">
        <f t="shared" si="30"/>
        <v>35</v>
      </c>
      <c r="C60" s="13">
        <f t="shared" si="107"/>
        <v>0.30732888667197411</v>
      </c>
      <c r="D60" s="82">
        <f>IF($B60=F$20,'Construction Costs_2022'!$K$22+'Construction Costs_2022'!$K$7,0)</f>
        <v>0</v>
      </c>
      <c r="E60" s="38">
        <f t="shared" si="32"/>
        <v>28800</v>
      </c>
      <c r="F60" s="38"/>
      <c r="G60" s="45"/>
      <c r="H60" s="46">
        <f t="shared" si="108"/>
        <v>28800</v>
      </c>
      <c r="I60" s="41">
        <f t="shared" si="109"/>
        <v>0</v>
      </c>
      <c r="J60" s="41">
        <f t="shared" si="109"/>
        <v>8851.0719361528536</v>
      </c>
      <c r="K60" s="47">
        <f t="shared" si="109"/>
        <v>0</v>
      </c>
      <c r="L60" s="47">
        <f t="shared" si="109"/>
        <v>0</v>
      </c>
      <c r="M60" s="92">
        <f t="shared" si="33"/>
        <v>8851.0719361528536</v>
      </c>
      <c r="N60" s="91">
        <f>IF($B60=P$20,'Construction Costs_2022'!$K$43+'Construction Costs_2022'!$K$7,0)</f>
        <v>0</v>
      </c>
      <c r="O60" s="38">
        <f t="shared" si="34"/>
        <v>43200</v>
      </c>
      <c r="P60" s="38"/>
      <c r="Q60" s="45"/>
      <c r="R60" s="46">
        <f t="shared" si="110"/>
        <v>43200</v>
      </c>
      <c r="S60" s="41">
        <f t="shared" si="105"/>
        <v>0</v>
      </c>
      <c r="T60" s="41">
        <f t="shared" si="105"/>
        <v>13276.607904229282</v>
      </c>
      <c r="U60" s="47">
        <f t="shared" si="104"/>
        <v>0</v>
      </c>
      <c r="V60" s="47">
        <f t="shared" si="106"/>
        <v>0</v>
      </c>
      <c r="W60" s="92">
        <f t="shared" si="36"/>
        <v>13276.607904229282</v>
      </c>
      <c r="X60" s="82">
        <f>IF($B60=AP$20,'OBC Cost _Van Oord 2022'!$E$30,0)</f>
        <v>0</v>
      </c>
      <c r="Y60" s="38">
        <f t="shared" si="37"/>
        <v>0</v>
      </c>
      <c r="Z60" s="38"/>
      <c r="AA60" s="38"/>
      <c r="AB60" s="38"/>
      <c r="AC60" s="38"/>
      <c r="AD60" s="38"/>
      <c r="AE60" s="38"/>
      <c r="AF60" s="38"/>
      <c r="AG60" s="38"/>
      <c r="AH60" s="38"/>
      <c r="AI60" s="38"/>
      <c r="AJ60" s="38"/>
      <c r="AK60" s="38"/>
      <c r="AL60" s="38"/>
      <c r="AM60" s="38"/>
      <c r="AN60" s="38"/>
      <c r="AO60" s="38"/>
      <c r="AP60" s="38"/>
      <c r="AQ60" s="45">
        <f t="shared" si="102"/>
        <v>0</v>
      </c>
      <c r="AR60" s="45"/>
      <c r="AS60" s="46">
        <f t="shared" si="111"/>
        <v>0</v>
      </c>
      <c r="AT60" s="41">
        <f t="shared" si="112"/>
        <v>0</v>
      </c>
      <c r="AU60" s="41">
        <f t="shared" si="113"/>
        <v>0</v>
      </c>
      <c r="AV60" s="47"/>
      <c r="AW60" s="47"/>
      <c r="AX60" s="47"/>
      <c r="AY60" s="47"/>
      <c r="AZ60" s="47"/>
      <c r="BA60" s="47"/>
      <c r="BB60" s="47"/>
      <c r="BC60" s="47"/>
      <c r="BD60" s="47"/>
      <c r="BE60" s="47"/>
      <c r="BF60" s="47"/>
      <c r="BG60" s="47"/>
      <c r="BH60" s="47"/>
      <c r="BI60" s="47"/>
      <c r="BJ60" s="47"/>
      <c r="BK60" s="47"/>
      <c r="BL60" s="47"/>
      <c r="BM60" s="47">
        <f t="shared" si="96"/>
        <v>0</v>
      </c>
      <c r="BN60" s="92">
        <f t="shared" si="114"/>
        <v>0</v>
      </c>
      <c r="BO60" s="82">
        <f>IF($B60=BQ$20,'Construction Costs_2022'!$K$84+'Construction Costs_2022'!$K$7,0)</f>
        <v>0</v>
      </c>
      <c r="BP60" s="38">
        <f t="shared" si="115"/>
        <v>0</v>
      </c>
      <c r="BQ60" s="38"/>
      <c r="BR60" s="45"/>
      <c r="BS60" s="46">
        <f t="shared" si="97"/>
        <v>0</v>
      </c>
      <c r="BT60" s="41">
        <f t="shared" si="20"/>
        <v>0</v>
      </c>
      <c r="BU60" s="41">
        <f t="shared" si="20"/>
        <v>0</v>
      </c>
      <c r="BV60" s="47">
        <f t="shared" si="20"/>
        <v>0</v>
      </c>
      <c r="BW60" s="47">
        <f t="shared" si="20"/>
        <v>0</v>
      </c>
      <c r="BX60" s="92">
        <f t="shared" si="52"/>
        <v>0</v>
      </c>
      <c r="BY60" s="82">
        <f>IF($B60=CA$20,'Construction Costs_2022'!$K$104+'Construction Costs_2022'!$K$7,0)</f>
        <v>0</v>
      </c>
      <c r="BZ60" s="38">
        <f t="shared" si="116"/>
        <v>0</v>
      </c>
      <c r="CA60" s="38"/>
      <c r="CB60" s="45"/>
      <c r="CC60" s="46">
        <f t="shared" si="98"/>
        <v>0</v>
      </c>
      <c r="CD60" s="41">
        <f t="shared" si="23"/>
        <v>0</v>
      </c>
      <c r="CE60" s="41">
        <f t="shared" si="23"/>
        <v>0</v>
      </c>
      <c r="CF60" s="47">
        <f t="shared" si="23"/>
        <v>0</v>
      </c>
      <c r="CG60" s="47">
        <f t="shared" si="23"/>
        <v>0</v>
      </c>
      <c r="CH60" s="92">
        <f t="shared" si="53"/>
        <v>0</v>
      </c>
      <c r="CI60" s="82">
        <f>IF($B60=DA$20,'OBC Cost _Van Oord 2022'!$E$30,0)</f>
        <v>0</v>
      </c>
      <c r="CJ60" s="38">
        <f t="shared" si="54"/>
        <v>0</v>
      </c>
      <c r="CK60" s="38"/>
      <c r="CL60" s="38"/>
      <c r="CM60" s="38"/>
      <c r="CN60" s="38"/>
      <c r="CO60" s="38"/>
      <c r="CP60" s="38"/>
      <c r="CQ60" s="38"/>
      <c r="CR60" s="38"/>
      <c r="CS60" s="38"/>
      <c r="CT60" s="38"/>
      <c r="CU60" s="38"/>
      <c r="CV60" s="38"/>
      <c r="CW60" s="38"/>
      <c r="CX60" s="38"/>
      <c r="CY60" s="38"/>
      <c r="CZ60" s="38"/>
      <c r="DA60" s="38"/>
      <c r="DB60" s="45">
        <f t="shared" si="103"/>
        <v>0</v>
      </c>
      <c r="DC60" s="45"/>
      <c r="DD60" s="46">
        <f t="shared" si="117"/>
        <v>0</v>
      </c>
      <c r="DE60" s="41">
        <f t="shared" si="99"/>
        <v>0</v>
      </c>
      <c r="DF60" s="41">
        <f t="shared" si="27"/>
        <v>0</v>
      </c>
      <c r="DG60" s="47"/>
      <c r="DH60" s="47"/>
      <c r="DI60" s="47"/>
      <c r="DJ60" s="47"/>
      <c r="DK60" s="47"/>
      <c r="DL60" s="47"/>
      <c r="DM60" s="47"/>
      <c r="DN60" s="47"/>
      <c r="DO60" s="47"/>
      <c r="DP60" s="47"/>
      <c r="DQ60" s="47"/>
      <c r="DR60" s="47"/>
      <c r="DS60" s="47"/>
      <c r="DT60" s="47"/>
      <c r="DU60" s="47"/>
      <c r="DV60" s="47"/>
      <c r="DW60" s="47"/>
      <c r="DX60" s="47">
        <f t="shared" si="101"/>
        <v>0</v>
      </c>
      <c r="DY60" s="92">
        <f t="shared" si="118"/>
        <v>0</v>
      </c>
    </row>
    <row r="61" spans="2:129" s="3" customFormat="1" ht="12.75" x14ac:dyDescent="0.2">
      <c r="B61" s="12">
        <f t="shared" si="30"/>
        <v>36</v>
      </c>
      <c r="C61" s="13">
        <f t="shared" si="107"/>
        <v>0.29837755987570302</v>
      </c>
      <c r="D61" s="82">
        <f>IF($B61=F$20,'Construction Costs_2022'!$K$22+'Construction Costs_2022'!$K$7,0)</f>
        <v>0</v>
      </c>
      <c r="E61" s="38">
        <f t="shared" si="32"/>
        <v>28800</v>
      </c>
      <c r="F61" s="38"/>
      <c r="G61" s="45"/>
      <c r="H61" s="46">
        <f t="shared" si="108"/>
        <v>28800</v>
      </c>
      <c r="I61" s="41">
        <f t="shared" si="109"/>
        <v>0</v>
      </c>
      <c r="J61" s="41">
        <f t="shared" si="109"/>
        <v>8593.2737244202472</v>
      </c>
      <c r="K61" s="47">
        <f t="shared" si="109"/>
        <v>0</v>
      </c>
      <c r="L61" s="47">
        <f t="shared" si="109"/>
        <v>0</v>
      </c>
      <c r="M61" s="92">
        <f t="shared" si="33"/>
        <v>8593.2737244202472</v>
      </c>
      <c r="N61" s="91">
        <f>IF($B61=P$20,'Construction Costs_2022'!$K$43+'Construction Costs_2022'!$K$7,0)</f>
        <v>0</v>
      </c>
      <c r="O61" s="38">
        <f t="shared" si="34"/>
        <v>43200</v>
      </c>
      <c r="P61" s="38"/>
      <c r="Q61" s="45"/>
      <c r="R61" s="46">
        <f t="shared" si="110"/>
        <v>43200</v>
      </c>
      <c r="S61" s="41">
        <f t="shared" si="105"/>
        <v>0</v>
      </c>
      <c r="T61" s="41">
        <f t="shared" si="105"/>
        <v>12889.910586630371</v>
      </c>
      <c r="U61" s="47">
        <f t="shared" si="104"/>
        <v>0</v>
      </c>
      <c r="V61" s="47">
        <f t="shared" si="106"/>
        <v>0</v>
      </c>
      <c r="W61" s="92">
        <f t="shared" si="36"/>
        <v>12889.910586630371</v>
      </c>
      <c r="X61" s="82">
        <f>IF($B61=AP$20,'OBC Cost _Van Oord 2022'!$E$30,0)</f>
        <v>0</v>
      </c>
      <c r="Y61" s="38">
        <f t="shared" si="37"/>
        <v>0</v>
      </c>
      <c r="Z61" s="38"/>
      <c r="AA61" s="38"/>
      <c r="AB61" s="38"/>
      <c r="AC61" s="38"/>
      <c r="AD61" s="38"/>
      <c r="AE61" s="38"/>
      <c r="AF61" s="38"/>
      <c r="AG61" s="38"/>
      <c r="AH61" s="38"/>
      <c r="AI61" s="38"/>
      <c r="AJ61" s="38"/>
      <c r="AK61" s="38"/>
      <c r="AL61" s="38"/>
      <c r="AM61" s="38"/>
      <c r="AN61" s="38"/>
      <c r="AO61" s="38"/>
      <c r="AP61" s="38"/>
      <c r="AQ61" s="45">
        <f t="shared" si="102"/>
        <v>0</v>
      </c>
      <c r="AR61" s="45"/>
      <c r="AS61" s="46">
        <f t="shared" si="111"/>
        <v>0</v>
      </c>
      <c r="AT61" s="41">
        <f t="shared" si="112"/>
        <v>0</v>
      </c>
      <c r="AU61" s="41">
        <f t="shared" si="113"/>
        <v>0</v>
      </c>
      <c r="AV61" s="47"/>
      <c r="AW61" s="47"/>
      <c r="AX61" s="47"/>
      <c r="AY61" s="47"/>
      <c r="AZ61" s="47"/>
      <c r="BA61" s="47"/>
      <c r="BB61" s="47"/>
      <c r="BC61" s="47"/>
      <c r="BD61" s="47"/>
      <c r="BE61" s="47"/>
      <c r="BF61" s="47"/>
      <c r="BG61" s="47"/>
      <c r="BH61" s="47"/>
      <c r="BI61" s="47"/>
      <c r="BJ61" s="47"/>
      <c r="BK61" s="47"/>
      <c r="BL61" s="47"/>
      <c r="BM61" s="47">
        <f t="shared" si="96"/>
        <v>0</v>
      </c>
      <c r="BN61" s="92">
        <f t="shared" si="114"/>
        <v>0</v>
      </c>
      <c r="BO61" s="82">
        <f>IF($B61=BQ$20,'Construction Costs_2022'!$K$84+'Construction Costs_2022'!$K$7,0)</f>
        <v>0</v>
      </c>
      <c r="BP61" s="38">
        <f t="shared" si="115"/>
        <v>0</v>
      </c>
      <c r="BQ61" s="38"/>
      <c r="BR61" s="45"/>
      <c r="BS61" s="46">
        <f t="shared" si="97"/>
        <v>0</v>
      </c>
      <c r="BT61" s="41">
        <f t="shared" si="20"/>
        <v>0</v>
      </c>
      <c r="BU61" s="41">
        <f t="shared" si="20"/>
        <v>0</v>
      </c>
      <c r="BV61" s="47">
        <f t="shared" si="20"/>
        <v>0</v>
      </c>
      <c r="BW61" s="47">
        <f t="shared" si="20"/>
        <v>0</v>
      </c>
      <c r="BX61" s="92">
        <f t="shared" si="52"/>
        <v>0</v>
      </c>
      <c r="BY61" s="82">
        <f>IF($B61=CA$20,'Construction Costs_2022'!$K$104+'Construction Costs_2022'!$K$7,0)</f>
        <v>0</v>
      </c>
      <c r="BZ61" s="38">
        <f t="shared" si="116"/>
        <v>0</v>
      </c>
      <c r="CA61" s="38"/>
      <c r="CB61" s="45"/>
      <c r="CC61" s="46">
        <f t="shared" si="98"/>
        <v>0</v>
      </c>
      <c r="CD61" s="41">
        <f t="shared" si="23"/>
        <v>0</v>
      </c>
      <c r="CE61" s="41">
        <f t="shared" si="23"/>
        <v>0</v>
      </c>
      <c r="CF61" s="47">
        <f t="shared" si="23"/>
        <v>0</v>
      </c>
      <c r="CG61" s="47">
        <f t="shared" si="23"/>
        <v>0</v>
      </c>
      <c r="CH61" s="92">
        <f t="shared" si="53"/>
        <v>0</v>
      </c>
      <c r="CI61" s="82">
        <f>IF($B61=DA$20,'OBC Cost _Van Oord 2022'!$E$30,0)</f>
        <v>0</v>
      </c>
      <c r="CJ61" s="38">
        <f t="shared" si="54"/>
        <v>0</v>
      </c>
      <c r="CK61" s="38"/>
      <c r="CL61" s="38"/>
      <c r="CM61" s="38"/>
      <c r="CN61" s="38"/>
      <c r="CO61" s="38"/>
      <c r="CP61" s="38"/>
      <c r="CQ61" s="38"/>
      <c r="CR61" s="38"/>
      <c r="CS61" s="38"/>
      <c r="CT61" s="38"/>
      <c r="CU61" s="38"/>
      <c r="CV61" s="38"/>
      <c r="CW61" s="38"/>
      <c r="CX61" s="38"/>
      <c r="CY61" s="38"/>
      <c r="CZ61" s="38"/>
      <c r="DA61" s="38"/>
      <c r="DB61" s="45">
        <f t="shared" si="103"/>
        <v>0</v>
      </c>
      <c r="DC61" s="45"/>
      <c r="DD61" s="46">
        <f t="shared" si="117"/>
        <v>0</v>
      </c>
      <c r="DE61" s="41">
        <f t="shared" si="99"/>
        <v>0</v>
      </c>
      <c r="DF61" s="41">
        <f t="shared" si="27"/>
        <v>0</v>
      </c>
      <c r="DG61" s="47"/>
      <c r="DH61" s="47"/>
      <c r="DI61" s="47"/>
      <c r="DJ61" s="47"/>
      <c r="DK61" s="47"/>
      <c r="DL61" s="47"/>
      <c r="DM61" s="47"/>
      <c r="DN61" s="47"/>
      <c r="DO61" s="47"/>
      <c r="DP61" s="47"/>
      <c r="DQ61" s="47"/>
      <c r="DR61" s="47"/>
      <c r="DS61" s="47"/>
      <c r="DT61" s="47"/>
      <c r="DU61" s="47"/>
      <c r="DV61" s="47"/>
      <c r="DW61" s="47"/>
      <c r="DX61" s="47">
        <f t="shared" si="101"/>
        <v>0</v>
      </c>
      <c r="DY61" s="92">
        <f t="shared" si="118"/>
        <v>0</v>
      </c>
    </row>
    <row r="62" spans="2:129" s="3" customFormat="1" ht="12.75" x14ac:dyDescent="0.2">
      <c r="B62" s="12">
        <f t="shared" si="30"/>
        <v>37</v>
      </c>
      <c r="C62" s="13">
        <f t="shared" si="107"/>
        <v>0.28968695133563399</v>
      </c>
      <c r="D62" s="82">
        <f>IF($B62=F$20,'Construction Costs_2022'!$K$22+'Construction Costs_2022'!$K$7,0)</f>
        <v>0</v>
      </c>
      <c r="E62" s="38">
        <f t="shared" si="32"/>
        <v>28800</v>
      </c>
      <c r="F62" s="38"/>
      <c r="G62" s="45"/>
      <c r="H62" s="46">
        <f t="shared" si="108"/>
        <v>28800</v>
      </c>
      <c r="I62" s="41">
        <f t="shared" si="109"/>
        <v>0</v>
      </c>
      <c r="J62" s="41">
        <f t="shared" si="109"/>
        <v>8342.9841984662598</v>
      </c>
      <c r="K62" s="47">
        <f t="shared" si="109"/>
        <v>0</v>
      </c>
      <c r="L62" s="47">
        <f t="shared" si="109"/>
        <v>0</v>
      </c>
      <c r="M62" s="92">
        <f t="shared" si="33"/>
        <v>8342.9841984662598</v>
      </c>
      <c r="N62" s="91">
        <f>IF($B62=P$20,'Construction Costs_2022'!$K$43+'Construction Costs_2022'!$K$7,0)</f>
        <v>0</v>
      </c>
      <c r="O62" s="38">
        <f t="shared" si="34"/>
        <v>43200</v>
      </c>
      <c r="P62" s="38"/>
      <c r="Q62" s="45"/>
      <c r="R62" s="46">
        <f t="shared" si="110"/>
        <v>43200</v>
      </c>
      <c r="S62" s="41">
        <f t="shared" si="105"/>
        <v>0</v>
      </c>
      <c r="T62" s="41">
        <f t="shared" si="105"/>
        <v>12514.476297699388</v>
      </c>
      <c r="U62" s="47">
        <f t="shared" si="104"/>
        <v>0</v>
      </c>
      <c r="V62" s="47">
        <f t="shared" si="106"/>
        <v>0</v>
      </c>
      <c r="W62" s="92">
        <f t="shared" si="36"/>
        <v>12514.476297699388</v>
      </c>
      <c r="X62" s="82">
        <f>IF($B62=AP$20,'OBC Cost _Van Oord 2022'!$E$30,0)</f>
        <v>0</v>
      </c>
      <c r="Y62" s="38">
        <f t="shared" si="37"/>
        <v>86400</v>
      </c>
      <c r="Z62" s="38"/>
      <c r="AA62" s="38"/>
      <c r="AB62" s="38"/>
      <c r="AC62" s="38"/>
      <c r="AD62" s="38"/>
      <c r="AE62" s="38"/>
      <c r="AF62" s="38"/>
      <c r="AG62" s="38"/>
      <c r="AH62" s="38"/>
      <c r="AI62" s="38"/>
      <c r="AJ62" s="38"/>
      <c r="AK62" s="38"/>
      <c r="AL62" s="38"/>
      <c r="AM62" s="38"/>
      <c r="AN62" s="38"/>
      <c r="AO62" s="38"/>
      <c r="AP62" s="38"/>
      <c r="AQ62" s="45">
        <f t="shared" si="102"/>
        <v>22464</v>
      </c>
      <c r="AR62" s="45"/>
      <c r="AS62" s="46">
        <f t="shared" si="111"/>
        <v>108864</v>
      </c>
      <c r="AT62" s="41">
        <f t="shared" si="112"/>
        <v>0</v>
      </c>
      <c r="AU62" s="41">
        <f t="shared" si="113"/>
        <v>25028.952595398776</v>
      </c>
      <c r="AV62" s="47"/>
      <c r="AW62" s="47"/>
      <c r="AX62" s="47"/>
      <c r="AY62" s="47"/>
      <c r="AZ62" s="47"/>
      <c r="BA62" s="47"/>
      <c r="BB62" s="47"/>
      <c r="BC62" s="47"/>
      <c r="BD62" s="47"/>
      <c r="BE62" s="47"/>
      <c r="BF62" s="47"/>
      <c r="BG62" s="47"/>
      <c r="BH62" s="47"/>
      <c r="BI62" s="47"/>
      <c r="BJ62" s="47"/>
      <c r="BK62" s="47"/>
      <c r="BL62" s="47"/>
      <c r="BM62" s="47">
        <f t="shared" si="96"/>
        <v>6507.5276748036822</v>
      </c>
      <c r="BN62" s="92">
        <f t="shared" si="114"/>
        <v>31536.480270202457</v>
      </c>
      <c r="BO62" s="82">
        <f>IF($B62=BQ$20,'Construction Costs_2022'!$K$84+'Construction Costs_2022'!$K$7,0)</f>
        <v>0</v>
      </c>
      <c r="BP62" s="38">
        <f t="shared" si="115"/>
        <v>100800</v>
      </c>
      <c r="BQ62" s="38"/>
      <c r="BR62" s="45"/>
      <c r="BS62" s="46">
        <f t="shared" si="97"/>
        <v>100800</v>
      </c>
      <c r="BT62" s="41">
        <f t="shared" si="20"/>
        <v>0</v>
      </c>
      <c r="BU62" s="41">
        <f t="shared" si="20"/>
        <v>29200.444694631908</v>
      </c>
      <c r="BV62" s="47">
        <f t="shared" si="20"/>
        <v>0</v>
      </c>
      <c r="BW62" s="47">
        <f t="shared" si="20"/>
        <v>0</v>
      </c>
      <c r="BX62" s="92">
        <f t="shared" si="52"/>
        <v>29200.444694631908</v>
      </c>
      <c r="BY62" s="82">
        <f>IF($B62=CA$20,'Construction Costs_2022'!$K$104+'Construction Costs_2022'!$K$7,0)</f>
        <v>0</v>
      </c>
      <c r="BZ62" s="38">
        <f t="shared" si="116"/>
        <v>57600</v>
      </c>
      <c r="CA62" s="38"/>
      <c r="CB62" s="45"/>
      <c r="CC62" s="46">
        <f t="shared" si="98"/>
        <v>57600</v>
      </c>
      <c r="CD62" s="41">
        <f t="shared" si="23"/>
        <v>0</v>
      </c>
      <c r="CE62" s="41">
        <f t="shared" si="23"/>
        <v>16685.96839693252</v>
      </c>
      <c r="CF62" s="47">
        <f t="shared" si="23"/>
        <v>0</v>
      </c>
      <c r="CG62" s="47">
        <f t="shared" si="23"/>
        <v>0</v>
      </c>
      <c r="CH62" s="92">
        <f t="shared" si="53"/>
        <v>16685.96839693252</v>
      </c>
      <c r="CI62" s="82">
        <f>IF($B62=DA$20,'OBC Cost _Van Oord 2022'!$E$30,0)</f>
        <v>0</v>
      </c>
      <c r="CJ62" s="38">
        <f t="shared" si="54"/>
        <v>86400</v>
      </c>
      <c r="CK62" s="38"/>
      <c r="CL62" s="38"/>
      <c r="CM62" s="38"/>
      <c r="CN62" s="38"/>
      <c r="CO62" s="38"/>
      <c r="CP62" s="38"/>
      <c r="CQ62" s="38"/>
      <c r="CR62" s="38"/>
      <c r="CS62" s="38"/>
      <c r="CT62" s="38"/>
      <c r="CU62" s="38"/>
      <c r="CV62" s="38"/>
      <c r="CW62" s="38"/>
      <c r="CX62" s="38"/>
      <c r="CY62" s="38"/>
      <c r="CZ62" s="38"/>
      <c r="DA62" s="38"/>
      <c r="DB62" s="45">
        <f t="shared" si="103"/>
        <v>25920</v>
      </c>
      <c r="DC62" s="45"/>
      <c r="DD62" s="46">
        <f t="shared" si="117"/>
        <v>112320</v>
      </c>
      <c r="DE62" s="41">
        <f t="shared" si="99"/>
        <v>0</v>
      </c>
      <c r="DF62" s="41">
        <f t="shared" si="27"/>
        <v>25028.952595398776</v>
      </c>
      <c r="DG62" s="47"/>
      <c r="DH62" s="47"/>
      <c r="DI62" s="47"/>
      <c r="DJ62" s="47"/>
      <c r="DK62" s="47"/>
      <c r="DL62" s="47"/>
      <c r="DM62" s="47"/>
      <c r="DN62" s="47"/>
      <c r="DO62" s="47"/>
      <c r="DP62" s="47"/>
      <c r="DQ62" s="47"/>
      <c r="DR62" s="47"/>
      <c r="DS62" s="47"/>
      <c r="DT62" s="47"/>
      <c r="DU62" s="47"/>
      <c r="DV62" s="47"/>
      <c r="DW62" s="47"/>
      <c r="DX62" s="47">
        <f t="shared" si="101"/>
        <v>7508.6857786196333</v>
      </c>
      <c r="DY62" s="92">
        <f t="shared" si="118"/>
        <v>32537.63837401841</v>
      </c>
    </row>
    <row r="63" spans="2:129" s="3" customFormat="1" ht="12.75" x14ac:dyDescent="0.2">
      <c r="B63" s="12">
        <f t="shared" si="30"/>
        <v>38</v>
      </c>
      <c r="C63" s="13">
        <f t="shared" si="107"/>
        <v>0.28124946731614953</v>
      </c>
      <c r="D63" s="82">
        <f>IF($B63=F$20,'Construction Costs_2022'!$K$22+'Construction Costs_2022'!$K$7,0)</f>
        <v>0</v>
      </c>
      <c r="E63" s="38">
        <f t="shared" si="32"/>
        <v>28800</v>
      </c>
      <c r="F63" s="38"/>
      <c r="G63" s="45"/>
      <c r="H63" s="46">
        <f t="shared" si="108"/>
        <v>28800</v>
      </c>
      <c r="I63" s="41">
        <f t="shared" si="109"/>
        <v>0</v>
      </c>
      <c r="J63" s="41">
        <f t="shared" si="109"/>
        <v>8099.9846587051061</v>
      </c>
      <c r="K63" s="47">
        <f t="shared" si="109"/>
        <v>0</v>
      </c>
      <c r="L63" s="47">
        <f t="shared" si="109"/>
        <v>0</v>
      </c>
      <c r="M63" s="92">
        <f t="shared" si="33"/>
        <v>8099.9846587051061</v>
      </c>
      <c r="N63" s="91">
        <f>IF($B63=P$20,'Construction Costs_2022'!$K$43+'Construction Costs_2022'!$K$7,0)</f>
        <v>0</v>
      </c>
      <c r="O63" s="38">
        <f t="shared" si="34"/>
        <v>43200</v>
      </c>
      <c r="P63" s="38"/>
      <c r="Q63" s="45"/>
      <c r="R63" s="46">
        <f t="shared" si="110"/>
        <v>43200</v>
      </c>
      <c r="S63" s="41">
        <f t="shared" si="105"/>
        <v>0</v>
      </c>
      <c r="T63" s="41">
        <f t="shared" si="105"/>
        <v>12149.976988057659</v>
      </c>
      <c r="U63" s="47">
        <f t="shared" si="104"/>
        <v>0</v>
      </c>
      <c r="V63" s="47">
        <f t="shared" si="106"/>
        <v>0</v>
      </c>
      <c r="W63" s="92">
        <f t="shared" si="36"/>
        <v>12149.976988057659</v>
      </c>
      <c r="X63" s="82">
        <f>IF($B63=AP$20,'OBC Cost _Van Oord 2022'!$E$30,0)</f>
        <v>0</v>
      </c>
      <c r="Y63" s="38">
        <f t="shared" si="37"/>
        <v>0</v>
      </c>
      <c r="Z63" s="38"/>
      <c r="AA63" s="38"/>
      <c r="AB63" s="38"/>
      <c r="AC63" s="38"/>
      <c r="AD63" s="38"/>
      <c r="AE63" s="38"/>
      <c r="AF63" s="38"/>
      <c r="AG63" s="38"/>
      <c r="AH63" s="38"/>
      <c r="AI63" s="38"/>
      <c r="AJ63" s="38"/>
      <c r="AK63" s="38"/>
      <c r="AL63" s="38"/>
      <c r="AM63" s="38"/>
      <c r="AN63" s="38"/>
      <c r="AO63" s="38"/>
      <c r="AP63" s="38"/>
      <c r="AQ63" s="45">
        <f t="shared" si="102"/>
        <v>0</v>
      </c>
      <c r="AR63" s="45"/>
      <c r="AS63" s="46">
        <f t="shared" si="111"/>
        <v>0</v>
      </c>
      <c r="AT63" s="41">
        <f t="shared" si="112"/>
        <v>0</v>
      </c>
      <c r="AU63" s="41">
        <f t="shared" si="113"/>
        <v>0</v>
      </c>
      <c r="AV63" s="47"/>
      <c r="AW63" s="47"/>
      <c r="AX63" s="47"/>
      <c r="AY63" s="47"/>
      <c r="AZ63" s="47"/>
      <c r="BA63" s="47"/>
      <c r="BB63" s="47"/>
      <c r="BC63" s="47"/>
      <c r="BD63" s="47"/>
      <c r="BE63" s="47"/>
      <c r="BF63" s="47"/>
      <c r="BG63" s="47"/>
      <c r="BH63" s="47"/>
      <c r="BI63" s="47"/>
      <c r="BJ63" s="47"/>
      <c r="BK63" s="47"/>
      <c r="BL63" s="47"/>
      <c r="BM63" s="47">
        <f t="shared" si="96"/>
        <v>0</v>
      </c>
      <c r="BN63" s="92">
        <f t="shared" si="114"/>
        <v>0</v>
      </c>
      <c r="BO63" s="82">
        <f>IF($B63=BQ$20,'Construction Costs_2022'!$K$84+'Construction Costs_2022'!$K$7,0)</f>
        <v>0</v>
      </c>
      <c r="BP63" s="38">
        <f t="shared" si="115"/>
        <v>0</v>
      </c>
      <c r="BQ63" s="38"/>
      <c r="BR63" s="45"/>
      <c r="BS63" s="46">
        <f t="shared" si="97"/>
        <v>0</v>
      </c>
      <c r="BT63" s="41">
        <f t="shared" si="20"/>
        <v>0</v>
      </c>
      <c r="BU63" s="41">
        <f t="shared" si="20"/>
        <v>0</v>
      </c>
      <c r="BV63" s="47">
        <f t="shared" si="20"/>
        <v>0</v>
      </c>
      <c r="BW63" s="47">
        <f t="shared" si="20"/>
        <v>0</v>
      </c>
      <c r="BX63" s="92">
        <f t="shared" si="52"/>
        <v>0</v>
      </c>
      <c r="BY63" s="82">
        <f>IF($B63=CA$20,'Construction Costs_2022'!$K$104+'Construction Costs_2022'!$K$7,0)</f>
        <v>0</v>
      </c>
      <c r="BZ63" s="38">
        <f t="shared" si="116"/>
        <v>0</v>
      </c>
      <c r="CA63" s="38"/>
      <c r="CB63" s="45"/>
      <c r="CC63" s="46">
        <f t="shared" si="98"/>
        <v>0</v>
      </c>
      <c r="CD63" s="41">
        <f t="shared" si="23"/>
        <v>0</v>
      </c>
      <c r="CE63" s="41">
        <f t="shared" si="23"/>
        <v>0</v>
      </c>
      <c r="CF63" s="47">
        <f t="shared" si="23"/>
        <v>0</v>
      </c>
      <c r="CG63" s="47">
        <f t="shared" si="23"/>
        <v>0</v>
      </c>
      <c r="CH63" s="92">
        <f t="shared" si="53"/>
        <v>0</v>
      </c>
      <c r="CI63" s="82">
        <f>IF($B63=DA$20,'OBC Cost _Van Oord 2022'!$E$30,0)</f>
        <v>0</v>
      </c>
      <c r="CJ63" s="38">
        <f t="shared" si="54"/>
        <v>0</v>
      </c>
      <c r="CK63" s="38"/>
      <c r="CL63" s="38"/>
      <c r="CM63" s="38"/>
      <c r="CN63" s="38"/>
      <c r="CO63" s="38"/>
      <c r="CP63" s="38"/>
      <c r="CQ63" s="38"/>
      <c r="CR63" s="38"/>
      <c r="CS63" s="38"/>
      <c r="CT63" s="38"/>
      <c r="CU63" s="38"/>
      <c r="CV63" s="38"/>
      <c r="CW63" s="38"/>
      <c r="CX63" s="38"/>
      <c r="CY63" s="38"/>
      <c r="CZ63" s="38"/>
      <c r="DA63" s="38"/>
      <c r="DB63" s="45">
        <f t="shared" si="103"/>
        <v>0</v>
      </c>
      <c r="DC63" s="45"/>
      <c r="DD63" s="46">
        <f t="shared" si="117"/>
        <v>0</v>
      </c>
      <c r="DE63" s="41">
        <f t="shared" si="99"/>
        <v>0</v>
      </c>
      <c r="DF63" s="41">
        <f t="shared" si="27"/>
        <v>0</v>
      </c>
      <c r="DG63" s="47"/>
      <c r="DH63" s="47"/>
      <c r="DI63" s="47"/>
      <c r="DJ63" s="47"/>
      <c r="DK63" s="47"/>
      <c r="DL63" s="47"/>
      <c r="DM63" s="47"/>
      <c r="DN63" s="47"/>
      <c r="DO63" s="47"/>
      <c r="DP63" s="47"/>
      <c r="DQ63" s="47"/>
      <c r="DR63" s="47"/>
      <c r="DS63" s="47"/>
      <c r="DT63" s="47"/>
      <c r="DU63" s="47"/>
      <c r="DV63" s="47"/>
      <c r="DW63" s="47"/>
      <c r="DX63" s="47">
        <f t="shared" si="101"/>
        <v>0</v>
      </c>
      <c r="DY63" s="92">
        <f t="shared" si="118"/>
        <v>0</v>
      </c>
    </row>
    <row r="64" spans="2:129" s="3" customFormat="1" ht="12.75" x14ac:dyDescent="0.2">
      <c r="B64" s="12">
        <f t="shared" si="30"/>
        <v>39</v>
      </c>
      <c r="C64" s="13">
        <f t="shared" si="107"/>
        <v>0.2730577352583976</v>
      </c>
      <c r="D64" s="82">
        <f>IF($B64=F$20,'Construction Costs_2022'!$K$22+'Construction Costs_2022'!$K$7,0)</f>
        <v>0</v>
      </c>
      <c r="E64" s="38">
        <f t="shared" si="32"/>
        <v>28800</v>
      </c>
      <c r="F64" s="38"/>
      <c r="G64" s="45"/>
      <c r="H64" s="46">
        <f t="shared" si="108"/>
        <v>28800</v>
      </c>
      <c r="I64" s="41">
        <f t="shared" si="109"/>
        <v>0</v>
      </c>
      <c r="J64" s="41">
        <f t="shared" si="109"/>
        <v>7864.062775441851</v>
      </c>
      <c r="K64" s="47">
        <f t="shared" si="109"/>
        <v>0</v>
      </c>
      <c r="L64" s="47">
        <f t="shared" si="109"/>
        <v>0</v>
      </c>
      <c r="M64" s="92">
        <f t="shared" si="33"/>
        <v>7864.062775441851</v>
      </c>
      <c r="N64" s="91">
        <f>IF($B64=P$20,'Construction Costs_2022'!$K$43+'Construction Costs_2022'!$K$7,0)</f>
        <v>0</v>
      </c>
      <c r="O64" s="38">
        <f t="shared" si="34"/>
        <v>43200</v>
      </c>
      <c r="P64" s="38"/>
      <c r="Q64" s="45"/>
      <c r="R64" s="46">
        <f t="shared" si="110"/>
        <v>43200</v>
      </c>
      <c r="S64" s="41">
        <f t="shared" si="105"/>
        <v>0</v>
      </c>
      <c r="T64" s="41">
        <f t="shared" si="105"/>
        <v>11796.094163162776</v>
      </c>
      <c r="U64" s="47">
        <f t="shared" si="104"/>
        <v>0</v>
      </c>
      <c r="V64" s="47">
        <f t="shared" si="106"/>
        <v>0</v>
      </c>
      <c r="W64" s="92">
        <f t="shared" si="36"/>
        <v>11796.094163162776</v>
      </c>
      <c r="X64" s="82">
        <f>IF($B64=AP$20,'OBC Cost _Van Oord 2022'!$E$30,0)</f>
        <v>0</v>
      </c>
      <c r="Y64" s="38">
        <f t="shared" si="37"/>
        <v>0</v>
      </c>
      <c r="Z64" s="38"/>
      <c r="AA64" s="38"/>
      <c r="AB64" s="38"/>
      <c r="AC64" s="38"/>
      <c r="AD64" s="38"/>
      <c r="AE64" s="38"/>
      <c r="AF64" s="38"/>
      <c r="AG64" s="38"/>
      <c r="AH64" s="38"/>
      <c r="AI64" s="38"/>
      <c r="AJ64" s="38"/>
      <c r="AK64" s="38"/>
      <c r="AL64" s="38"/>
      <c r="AM64" s="38"/>
      <c r="AN64" s="38"/>
      <c r="AO64" s="38"/>
      <c r="AP64" s="38"/>
      <c r="AQ64" s="45">
        <f t="shared" si="102"/>
        <v>0</v>
      </c>
      <c r="AR64" s="45"/>
      <c r="AS64" s="46">
        <f t="shared" si="111"/>
        <v>0</v>
      </c>
      <c r="AT64" s="41">
        <f t="shared" si="112"/>
        <v>0</v>
      </c>
      <c r="AU64" s="41">
        <f t="shared" si="113"/>
        <v>0</v>
      </c>
      <c r="AV64" s="47"/>
      <c r="AW64" s="47"/>
      <c r="AX64" s="47"/>
      <c r="AY64" s="47"/>
      <c r="AZ64" s="47"/>
      <c r="BA64" s="47"/>
      <c r="BB64" s="47"/>
      <c r="BC64" s="47"/>
      <c r="BD64" s="47"/>
      <c r="BE64" s="47"/>
      <c r="BF64" s="47"/>
      <c r="BG64" s="47"/>
      <c r="BH64" s="47"/>
      <c r="BI64" s="47"/>
      <c r="BJ64" s="47"/>
      <c r="BK64" s="47"/>
      <c r="BL64" s="47"/>
      <c r="BM64" s="47">
        <f t="shared" si="96"/>
        <v>0</v>
      </c>
      <c r="BN64" s="92">
        <f t="shared" si="114"/>
        <v>0</v>
      </c>
      <c r="BO64" s="82">
        <f>IF($B64=BQ$20,'Construction Costs_2022'!$K$84+'Construction Costs_2022'!$K$7,0)</f>
        <v>0</v>
      </c>
      <c r="BP64" s="38">
        <f t="shared" si="115"/>
        <v>0</v>
      </c>
      <c r="BQ64" s="38"/>
      <c r="BR64" s="45"/>
      <c r="BS64" s="46">
        <f t="shared" si="97"/>
        <v>0</v>
      </c>
      <c r="BT64" s="41">
        <f t="shared" si="20"/>
        <v>0</v>
      </c>
      <c r="BU64" s="41">
        <f t="shared" si="20"/>
        <v>0</v>
      </c>
      <c r="BV64" s="47">
        <f t="shared" si="20"/>
        <v>0</v>
      </c>
      <c r="BW64" s="47">
        <f t="shared" si="20"/>
        <v>0</v>
      </c>
      <c r="BX64" s="92">
        <f t="shared" si="52"/>
        <v>0</v>
      </c>
      <c r="BY64" s="82">
        <f>IF($B64=CA$20,'Construction Costs_2022'!$K$104+'Construction Costs_2022'!$K$7,0)</f>
        <v>0</v>
      </c>
      <c r="BZ64" s="38">
        <f t="shared" si="116"/>
        <v>0</v>
      </c>
      <c r="CA64" s="38"/>
      <c r="CB64" s="45"/>
      <c r="CC64" s="46">
        <f t="shared" si="98"/>
        <v>0</v>
      </c>
      <c r="CD64" s="41">
        <f t="shared" si="23"/>
        <v>0</v>
      </c>
      <c r="CE64" s="41">
        <f t="shared" si="23"/>
        <v>0</v>
      </c>
      <c r="CF64" s="47">
        <f t="shared" si="23"/>
        <v>0</v>
      </c>
      <c r="CG64" s="47">
        <f t="shared" si="23"/>
        <v>0</v>
      </c>
      <c r="CH64" s="92">
        <f t="shared" si="53"/>
        <v>0</v>
      </c>
      <c r="CI64" s="82">
        <f>IF($B64=DA$20,'OBC Cost _Van Oord 2022'!$E$30,0)</f>
        <v>0</v>
      </c>
      <c r="CJ64" s="38">
        <f t="shared" si="54"/>
        <v>0</v>
      </c>
      <c r="CK64" s="38"/>
      <c r="CL64" s="38"/>
      <c r="CM64" s="38"/>
      <c r="CN64" s="38"/>
      <c r="CO64" s="38"/>
      <c r="CP64" s="38"/>
      <c r="CQ64" s="38"/>
      <c r="CR64" s="38"/>
      <c r="CS64" s="38"/>
      <c r="CT64" s="38"/>
      <c r="CU64" s="38"/>
      <c r="CV64" s="38"/>
      <c r="CW64" s="38"/>
      <c r="CX64" s="38"/>
      <c r="CY64" s="38"/>
      <c r="CZ64" s="38"/>
      <c r="DA64" s="38"/>
      <c r="DB64" s="45">
        <f t="shared" si="103"/>
        <v>0</v>
      </c>
      <c r="DC64" s="45"/>
      <c r="DD64" s="46">
        <f t="shared" si="117"/>
        <v>0</v>
      </c>
      <c r="DE64" s="41">
        <f t="shared" si="99"/>
        <v>0</v>
      </c>
      <c r="DF64" s="41">
        <f t="shared" si="27"/>
        <v>0</v>
      </c>
      <c r="DG64" s="47"/>
      <c r="DH64" s="47"/>
      <c r="DI64" s="47"/>
      <c r="DJ64" s="47"/>
      <c r="DK64" s="47"/>
      <c r="DL64" s="47"/>
      <c r="DM64" s="47"/>
      <c r="DN64" s="47"/>
      <c r="DO64" s="47"/>
      <c r="DP64" s="47"/>
      <c r="DQ64" s="47"/>
      <c r="DR64" s="47"/>
      <c r="DS64" s="47"/>
      <c r="DT64" s="47"/>
      <c r="DU64" s="47"/>
      <c r="DV64" s="47"/>
      <c r="DW64" s="47"/>
      <c r="DX64" s="47">
        <f t="shared" si="101"/>
        <v>0</v>
      </c>
      <c r="DY64" s="92">
        <f t="shared" si="118"/>
        <v>0</v>
      </c>
    </row>
    <row r="65" spans="2:129" s="3" customFormat="1" ht="12.75" x14ac:dyDescent="0.2">
      <c r="B65" s="12">
        <f t="shared" si="30"/>
        <v>40</v>
      </c>
      <c r="C65" s="13">
        <f t="shared" si="107"/>
        <v>0.26510459733825009</v>
      </c>
      <c r="D65" s="82">
        <f>IF($B65=F$20,'Construction Costs_2022'!$K$22+'Construction Costs_2022'!$K$7,0)</f>
        <v>0</v>
      </c>
      <c r="E65" s="38">
        <f t="shared" si="32"/>
        <v>28800</v>
      </c>
      <c r="F65" s="38"/>
      <c r="G65" s="45"/>
      <c r="H65" s="46">
        <f t="shared" si="108"/>
        <v>28800</v>
      </c>
      <c r="I65" s="41">
        <f t="shared" si="109"/>
        <v>0</v>
      </c>
      <c r="J65" s="41">
        <f t="shared" si="109"/>
        <v>7635.0124033416023</v>
      </c>
      <c r="K65" s="47">
        <f t="shared" si="109"/>
        <v>0</v>
      </c>
      <c r="L65" s="47">
        <f t="shared" si="109"/>
        <v>0</v>
      </c>
      <c r="M65" s="92">
        <f t="shared" si="33"/>
        <v>7635.0124033416023</v>
      </c>
      <c r="N65" s="91">
        <f>IF($B65=P$20,'Construction Costs_2022'!$K$43+'Construction Costs_2022'!$K$7,0)</f>
        <v>0</v>
      </c>
      <c r="O65" s="38">
        <f t="shared" si="34"/>
        <v>43200</v>
      </c>
      <c r="P65" s="38"/>
      <c r="Q65" s="45"/>
      <c r="R65" s="46">
        <f t="shared" si="110"/>
        <v>43200</v>
      </c>
      <c r="S65" s="41">
        <f t="shared" si="105"/>
        <v>0</v>
      </c>
      <c r="T65" s="41">
        <f t="shared" si="105"/>
        <v>11452.518605012405</v>
      </c>
      <c r="U65" s="47">
        <f t="shared" si="104"/>
        <v>0</v>
      </c>
      <c r="V65" s="47">
        <f t="shared" si="106"/>
        <v>0</v>
      </c>
      <c r="W65" s="92">
        <f t="shared" si="36"/>
        <v>11452.518605012405</v>
      </c>
      <c r="X65" s="82">
        <f>IF($B65=AP$20,'OBC Cost _Van Oord 2022'!$E$30,0)</f>
        <v>0</v>
      </c>
      <c r="Y65" s="38">
        <f t="shared" si="37"/>
        <v>0</v>
      </c>
      <c r="Z65" s="38"/>
      <c r="AA65" s="38"/>
      <c r="AB65" s="38"/>
      <c r="AC65" s="38"/>
      <c r="AD65" s="38"/>
      <c r="AE65" s="38"/>
      <c r="AF65" s="38"/>
      <c r="AG65" s="38"/>
      <c r="AH65" s="38"/>
      <c r="AI65" s="38"/>
      <c r="AJ65" s="38"/>
      <c r="AK65" s="38"/>
      <c r="AL65" s="38"/>
      <c r="AM65" s="38"/>
      <c r="AN65" s="38"/>
      <c r="AO65" s="38"/>
      <c r="AP65" s="38"/>
      <c r="AQ65" s="45">
        <f t="shared" si="102"/>
        <v>0</v>
      </c>
      <c r="AR65" s="45"/>
      <c r="AS65" s="46">
        <f t="shared" si="111"/>
        <v>0</v>
      </c>
      <c r="AT65" s="41">
        <f t="shared" si="112"/>
        <v>0</v>
      </c>
      <c r="AU65" s="41">
        <f t="shared" si="113"/>
        <v>0</v>
      </c>
      <c r="AV65" s="47"/>
      <c r="AW65" s="47"/>
      <c r="AX65" s="47"/>
      <c r="AY65" s="47"/>
      <c r="AZ65" s="47"/>
      <c r="BA65" s="47"/>
      <c r="BB65" s="47"/>
      <c r="BC65" s="47"/>
      <c r="BD65" s="47"/>
      <c r="BE65" s="47"/>
      <c r="BF65" s="47"/>
      <c r="BG65" s="47"/>
      <c r="BH65" s="47"/>
      <c r="BI65" s="47"/>
      <c r="BJ65" s="47"/>
      <c r="BK65" s="47"/>
      <c r="BL65" s="47"/>
      <c r="BM65" s="47">
        <f t="shared" si="96"/>
        <v>0</v>
      </c>
      <c r="BN65" s="92">
        <f t="shared" si="114"/>
        <v>0</v>
      </c>
      <c r="BO65" s="82">
        <f>IF($B65=BQ$20,'Construction Costs_2022'!$K$84+'Construction Costs_2022'!$K$7,0)</f>
        <v>0</v>
      </c>
      <c r="BP65" s="38">
        <f t="shared" si="115"/>
        <v>0</v>
      </c>
      <c r="BQ65" s="38"/>
      <c r="BR65" s="45"/>
      <c r="BS65" s="46">
        <f t="shared" si="97"/>
        <v>0</v>
      </c>
      <c r="BT65" s="41">
        <f t="shared" si="20"/>
        <v>0</v>
      </c>
      <c r="BU65" s="41">
        <f t="shared" si="20"/>
        <v>0</v>
      </c>
      <c r="BV65" s="47">
        <f t="shared" si="20"/>
        <v>0</v>
      </c>
      <c r="BW65" s="47">
        <f t="shared" si="20"/>
        <v>0</v>
      </c>
      <c r="BX65" s="92">
        <f t="shared" si="52"/>
        <v>0</v>
      </c>
      <c r="BY65" s="82">
        <f>IF($B65=CA$20,'Construction Costs_2022'!$K$104+'Construction Costs_2022'!$K$7,0)</f>
        <v>0</v>
      </c>
      <c r="BZ65" s="38">
        <f t="shared" si="116"/>
        <v>0</v>
      </c>
      <c r="CA65" s="38"/>
      <c r="CB65" s="45"/>
      <c r="CC65" s="46">
        <f t="shared" si="98"/>
        <v>0</v>
      </c>
      <c r="CD65" s="41">
        <f t="shared" si="23"/>
        <v>0</v>
      </c>
      <c r="CE65" s="41">
        <f t="shared" si="23"/>
        <v>0</v>
      </c>
      <c r="CF65" s="47">
        <f t="shared" si="23"/>
        <v>0</v>
      </c>
      <c r="CG65" s="47">
        <f t="shared" si="23"/>
        <v>0</v>
      </c>
      <c r="CH65" s="92">
        <f t="shared" si="53"/>
        <v>0</v>
      </c>
      <c r="CI65" s="82">
        <f>IF($B65=DA$20,'OBC Cost _Van Oord 2022'!$E$30,0)</f>
        <v>0</v>
      </c>
      <c r="CJ65" s="38">
        <f t="shared" si="54"/>
        <v>0</v>
      </c>
      <c r="CK65" s="38"/>
      <c r="CL65" s="38"/>
      <c r="CM65" s="38"/>
      <c r="CN65" s="38"/>
      <c r="CO65" s="38"/>
      <c r="CP65" s="38"/>
      <c r="CQ65" s="38"/>
      <c r="CR65" s="38"/>
      <c r="CS65" s="38"/>
      <c r="CT65" s="38"/>
      <c r="CU65" s="38"/>
      <c r="CV65" s="38"/>
      <c r="CW65" s="38"/>
      <c r="CX65" s="38"/>
      <c r="CY65" s="38"/>
      <c r="CZ65" s="38"/>
      <c r="DA65" s="38"/>
      <c r="DB65" s="45">
        <f t="shared" si="103"/>
        <v>0</v>
      </c>
      <c r="DC65" s="45"/>
      <c r="DD65" s="46">
        <f t="shared" si="117"/>
        <v>0</v>
      </c>
      <c r="DE65" s="41">
        <f t="shared" si="99"/>
        <v>0</v>
      </c>
      <c r="DF65" s="41">
        <f t="shared" si="27"/>
        <v>0</v>
      </c>
      <c r="DG65" s="47"/>
      <c r="DH65" s="47"/>
      <c r="DI65" s="47"/>
      <c r="DJ65" s="47"/>
      <c r="DK65" s="47"/>
      <c r="DL65" s="47"/>
      <c r="DM65" s="47"/>
      <c r="DN65" s="47"/>
      <c r="DO65" s="47"/>
      <c r="DP65" s="47"/>
      <c r="DQ65" s="47"/>
      <c r="DR65" s="47"/>
      <c r="DS65" s="47"/>
      <c r="DT65" s="47"/>
      <c r="DU65" s="47"/>
      <c r="DV65" s="47"/>
      <c r="DW65" s="47"/>
      <c r="DX65" s="47">
        <f t="shared" si="101"/>
        <v>0</v>
      </c>
      <c r="DY65" s="92">
        <f t="shared" si="118"/>
        <v>0</v>
      </c>
    </row>
    <row r="66" spans="2:129" s="3" customFormat="1" ht="12.75" x14ac:dyDescent="0.2">
      <c r="B66" s="12">
        <f t="shared" si="30"/>
        <v>41</v>
      </c>
      <c r="C66" s="13">
        <f t="shared" si="107"/>
        <v>0.25738310421189331</v>
      </c>
      <c r="D66" s="82">
        <f>IF($B66=F$20,'Construction Costs_2022'!$K$22+'Construction Costs_2022'!$K$7,0)</f>
        <v>0</v>
      </c>
      <c r="E66" s="38">
        <f t="shared" si="32"/>
        <v>28800</v>
      </c>
      <c r="F66" s="38"/>
      <c r="G66" s="45"/>
      <c r="H66" s="46">
        <f t="shared" si="108"/>
        <v>28800</v>
      </c>
      <c r="I66" s="41">
        <f t="shared" si="109"/>
        <v>0</v>
      </c>
      <c r="J66" s="41">
        <f t="shared" si="109"/>
        <v>7412.6334013025271</v>
      </c>
      <c r="K66" s="47">
        <f t="shared" si="109"/>
        <v>0</v>
      </c>
      <c r="L66" s="47">
        <f t="shared" si="109"/>
        <v>0</v>
      </c>
      <c r="M66" s="92">
        <f t="shared" si="33"/>
        <v>7412.6334013025271</v>
      </c>
      <c r="N66" s="91">
        <f>IF($B66=P$20,'Construction Costs_2022'!$K$43+'Construction Costs_2022'!$K$7,0)</f>
        <v>0</v>
      </c>
      <c r="O66" s="38">
        <f t="shared" si="34"/>
        <v>43200</v>
      </c>
      <c r="P66" s="38"/>
      <c r="Q66" s="45"/>
      <c r="R66" s="46">
        <f t="shared" si="110"/>
        <v>43200</v>
      </c>
      <c r="S66" s="41">
        <f t="shared" si="105"/>
        <v>0</v>
      </c>
      <c r="T66" s="41">
        <f t="shared" si="105"/>
        <v>11118.950101953791</v>
      </c>
      <c r="U66" s="47">
        <f t="shared" si="104"/>
        <v>0</v>
      </c>
      <c r="V66" s="47">
        <f t="shared" si="106"/>
        <v>0</v>
      </c>
      <c r="W66" s="92">
        <f t="shared" si="36"/>
        <v>11118.950101953791</v>
      </c>
      <c r="X66" s="82">
        <f>IF($B66=AP$20,'OBC Cost _Van Oord 2022'!$E$30,0)</f>
        <v>0</v>
      </c>
      <c r="Y66" s="38">
        <f t="shared" si="37"/>
        <v>0</v>
      </c>
      <c r="Z66" s="38"/>
      <c r="AA66" s="38"/>
      <c r="AB66" s="38"/>
      <c r="AC66" s="38"/>
      <c r="AD66" s="38"/>
      <c r="AE66" s="38"/>
      <c r="AF66" s="38"/>
      <c r="AG66" s="38"/>
      <c r="AH66" s="38"/>
      <c r="AI66" s="38"/>
      <c r="AJ66" s="38"/>
      <c r="AK66" s="38"/>
      <c r="AL66" s="38"/>
      <c r="AM66" s="38"/>
      <c r="AN66" s="38"/>
      <c r="AO66" s="38"/>
      <c r="AP66" s="38"/>
      <c r="AQ66" s="45">
        <f t="shared" si="102"/>
        <v>0</v>
      </c>
      <c r="AR66" s="45"/>
      <c r="AS66" s="46">
        <f t="shared" si="111"/>
        <v>0</v>
      </c>
      <c r="AT66" s="41">
        <f t="shared" si="112"/>
        <v>0</v>
      </c>
      <c r="AU66" s="41">
        <f t="shared" si="113"/>
        <v>0</v>
      </c>
      <c r="AV66" s="47"/>
      <c r="AW66" s="47"/>
      <c r="AX66" s="47"/>
      <c r="AY66" s="47"/>
      <c r="AZ66" s="47"/>
      <c r="BA66" s="47"/>
      <c r="BB66" s="47"/>
      <c r="BC66" s="47"/>
      <c r="BD66" s="47"/>
      <c r="BE66" s="47"/>
      <c r="BF66" s="47"/>
      <c r="BG66" s="47"/>
      <c r="BH66" s="47"/>
      <c r="BI66" s="47"/>
      <c r="BJ66" s="47"/>
      <c r="BK66" s="47"/>
      <c r="BL66" s="47"/>
      <c r="BM66" s="47">
        <f t="shared" si="96"/>
        <v>0</v>
      </c>
      <c r="BN66" s="92">
        <f t="shared" si="114"/>
        <v>0</v>
      </c>
      <c r="BO66" s="82">
        <f>IF($B66=BQ$20,'Construction Costs_2022'!$K$84+'Construction Costs_2022'!$K$7,0)</f>
        <v>0</v>
      </c>
      <c r="BP66" s="38">
        <f t="shared" si="115"/>
        <v>0</v>
      </c>
      <c r="BQ66" s="38"/>
      <c r="BR66" s="45"/>
      <c r="BS66" s="46">
        <f t="shared" si="97"/>
        <v>0</v>
      </c>
      <c r="BT66" s="41">
        <f t="shared" si="20"/>
        <v>0</v>
      </c>
      <c r="BU66" s="41">
        <f t="shared" si="20"/>
        <v>0</v>
      </c>
      <c r="BV66" s="47">
        <f t="shared" si="20"/>
        <v>0</v>
      </c>
      <c r="BW66" s="47">
        <f t="shared" si="20"/>
        <v>0</v>
      </c>
      <c r="BX66" s="92">
        <f t="shared" si="52"/>
        <v>0</v>
      </c>
      <c r="BY66" s="82">
        <f>IF($B66=CA$20,'Construction Costs_2022'!$K$104+'Construction Costs_2022'!$K$7,0)</f>
        <v>0</v>
      </c>
      <c r="BZ66" s="38">
        <f t="shared" si="116"/>
        <v>0</v>
      </c>
      <c r="CA66" s="38"/>
      <c r="CB66" s="45"/>
      <c r="CC66" s="46">
        <f t="shared" si="98"/>
        <v>0</v>
      </c>
      <c r="CD66" s="41">
        <f t="shared" si="23"/>
        <v>0</v>
      </c>
      <c r="CE66" s="41">
        <f t="shared" si="23"/>
        <v>0</v>
      </c>
      <c r="CF66" s="47">
        <f t="shared" si="23"/>
        <v>0</v>
      </c>
      <c r="CG66" s="47">
        <f t="shared" si="23"/>
        <v>0</v>
      </c>
      <c r="CH66" s="92">
        <f t="shared" si="53"/>
        <v>0</v>
      </c>
      <c r="CI66" s="82">
        <f>IF($B66=DA$20,'OBC Cost _Van Oord 2022'!$E$30,0)</f>
        <v>0</v>
      </c>
      <c r="CJ66" s="38">
        <f t="shared" si="54"/>
        <v>0</v>
      </c>
      <c r="CK66" s="38"/>
      <c r="CL66" s="38"/>
      <c r="CM66" s="38"/>
      <c r="CN66" s="38"/>
      <c r="CO66" s="38"/>
      <c r="CP66" s="38"/>
      <c r="CQ66" s="38"/>
      <c r="CR66" s="38"/>
      <c r="CS66" s="38"/>
      <c r="CT66" s="38"/>
      <c r="CU66" s="38"/>
      <c r="CV66" s="38"/>
      <c r="CW66" s="38"/>
      <c r="CX66" s="38"/>
      <c r="CY66" s="38"/>
      <c r="CZ66" s="38"/>
      <c r="DA66" s="38"/>
      <c r="DB66" s="45">
        <f t="shared" si="103"/>
        <v>0</v>
      </c>
      <c r="DC66" s="45"/>
      <c r="DD66" s="46">
        <f t="shared" si="117"/>
        <v>0</v>
      </c>
      <c r="DE66" s="41">
        <f t="shared" si="99"/>
        <v>0</v>
      </c>
      <c r="DF66" s="41">
        <f t="shared" si="27"/>
        <v>0</v>
      </c>
      <c r="DG66" s="47"/>
      <c r="DH66" s="47"/>
      <c r="DI66" s="47"/>
      <c r="DJ66" s="47"/>
      <c r="DK66" s="47"/>
      <c r="DL66" s="47"/>
      <c r="DM66" s="47"/>
      <c r="DN66" s="47"/>
      <c r="DO66" s="47"/>
      <c r="DP66" s="47"/>
      <c r="DQ66" s="47"/>
      <c r="DR66" s="47"/>
      <c r="DS66" s="47"/>
      <c r="DT66" s="47"/>
      <c r="DU66" s="47"/>
      <c r="DV66" s="47"/>
      <c r="DW66" s="47"/>
      <c r="DX66" s="47">
        <f t="shared" si="101"/>
        <v>0</v>
      </c>
      <c r="DY66" s="92">
        <f t="shared" si="118"/>
        <v>0</v>
      </c>
    </row>
    <row r="67" spans="2:129" s="3" customFormat="1" ht="12.75" x14ac:dyDescent="0.2">
      <c r="B67" s="12">
        <f t="shared" si="30"/>
        <v>42</v>
      </c>
      <c r="C67" s="13">
        <f t="shared" si="107"/>
        <v>0.24988650894358574</v>
      </c>
      <c r="D67" s="82">
        <f>IF($B67=F$20,'Construction Costs_2022'!$K$22+'Construction Costs_2022'!$K$7,0)</f>
        <v>0</v>
      </c>
      <c r="E67" s="38">
        <f t="shared" si="32"/>
        <v>1301900</v>
      </c>
      <c r="F67" s="38"/>
      <c r="G67" s="45"/>
      <c r="H67" s="46">
        <f t="shared" si="108"/>
        <v>1301900</v>
      </c>
      <c r="I67" s="41">
        <f t="shared" si="109"/>
        <v>0</v>
      </c>
      <c r="J67" s="41">
        <f t="shared" si="109"/>
        <v>325327.2459936543</v>
      </c>
      <c r="K67" s="47">
        <f t="shared" si="109"/>
        <v>0</v>
      </c>
      <c r="L67" s="47">
        <f t="shared" si="109"/>
        <v>0</v>
      </c>
      <c r="M67" s="92">
        <f t="shared" si="33"/>
        <v>325327.2459936543</v>
      </c>
      <c r="N67" s="91">
        <f>IF($B67=P$20,'Construction Costs_2022'!$K$43+'Construction Costs_2022'!$K$7,0)</f>
        <v>0</v>
      </c>
      <c r="O67" s="38">
        <f t="shared" si="34"/>
        <v>1207840</v>
      </c>
      <c r="P67" s="38"/>
      <c r="Q67" s="45"/>
      <c r="R67" s="46">
        <f t="shared" si="110"/>
        <v>1207840</v>
      </c>
      <c r="S67" s="41">
        <f t="shared" si="105"/>
        <v>0</v>
      </c>
      <c r="T67" s="41">
        <f t="shared" si="105"/>
        <v>301822.92096242058</v>
      </c>
      <c r="U67" s="47">
        <f t="shared" si="104"/>
        <v>0</v>
      </c>
      <c r="V67" s="47">
        <f t="shared" si="106"/>
        <v>0</v>
      </c>
      <c r="W67" s="92">
        <f t="shared" si="36"/>
        <v>301822.92096242058</v>
      </c>
      <c r="X67" s="82">
        <f>IF($B67=AP$20,'OBC Cost _Van Oord 2022'!$E$30,0)</f>
        <v>0</v>
      </c>
      <c r="Y67" s="38">
        <f t="shared" si="37"/>
        <v>919280</v>
      </c>
      <c r="Z67" s="38"/>
      <c r="AA67" s="38"/>
      <c r="AB67" s="38"/>
      <c r="AC67" s="38"/>
      <c r="AD67" s="38"/>
      <c r="AE67" s="38"/>
      <c r="AF67" s="38"/>
      <c r="AG67" s="38"/>
      <c r="AH67" s="38"/>
      <c r="AI67" s="38"/>
      <c r="AJ67" s="38"/>
      <c r="AK67" s="38"/>
      <c r="AL67" s="38"/>
      <c r="AM67" s="38"/>
      <c r="AN67" s="38"/>
      <c r="AO67" s="38"/>
      <c r="AP67" s="38"/>
      <c r="AQ67" s="45">
        <f t="shared" si="102"/>
        <v>239012.80000000002</v>
      </c>
      <c r="AR67" s="45"/>
      <c r="AS67" s="46">
        <f t="shared" si="111"/>
        <v>1158292.8</v>
      </c>
      <c r="AT67" s="41">
        <f t="shared" si="112"/>
        <v>0</v>
      </c>
      <c r="AU67" s="41">
        <f t="shared" si="113"/>
        <v>229715.66994165949</v>
      </c>
      <c r="AV67" s="47"/>
      <c r="AW67" s="47"/>
      <c r="AX67" s="47"/>
      <c r="AY67" s="47"/>
      <c r="AZ67" s="47"/>
      <c r="BA67" s="47"/>
      <c r="BB67" s="47"/>
      <c r="BC67" s="47"/>
      <c r="BD67" s="47"/>
      <c r="BE67" s="47"/>
      <c r="BF67" s="47"/>
      <c r="BG67" s="47"/>
      <c r="BH67" s="47"/>
      <c r="BI67" s="47"/>
      <c r="BJ67" s="47"/>
      <c r="BK67" s="47"/>
      <c r="BL67" s="47"/>
      <c r="BM67" s="47">
        <f t="shared" si="96"/>
        <v>59726.074184831472</v>
      </c>
      <c r="BN67" s="92">
        <f t="shared" si="114"/>
        <v>289441.74412649096</v>
      </c>
      <c r="BO67" s="82">
        <f>IF($B67=BQ$20,'Construction Costs_2022'!$K$84+'Construction Costs_2022'!$K$7,0)</f>
        <v>0</v>
      </c>
      <c r="BP67" s="38">
        <f t="shared" si="115"/>
        <v>875260</v>
      </c>
      <c r="BQ67" s="38"/>
      <c r="BR67" s="45"/>
      <c r="BS67" s="46">
        <f t="shared" si="97"/>
        <v>875260</v>
      </c>
      <c r="BT67" s="41">
        <f t="shared" si="20"/>
        <v>0</v>
      </c>
      <c r="BU67" s="41">
        <f t="shared" si="20"/>
        <v>218715.66581796287</v>
      </c>
      <c r="BV67" s="47">
        <f t="shared" si="20"/>
        <v>0</v>
      </c>
      <c r="BW67" s="47">
        <f t="shared" si="20"/>
        <v>0</v>
      </c>
      <c r="BX67" s="92">
        <f t="shared" si="52"/>
        <v>218715.66581796287</v>
      </c>
      <c r="BY67" s="82">
        <f>IF($B67=CA$20,'Construction Costs_2022'!$K$104+'Construction Costs_2022'!$K$7,0)</f>
        <v>0</v>
      </c>
      <c r="BZ67" s="38">
        <f t="shared" si="116"/>
        <v>1004320</v>
      </c>
      <c r="CA67" s="38"/>
      <c r="CB67" s="45"/>
      <c r="CC67" s="46">
        <f t="shared" si="98"/>
        <v>1004320</v>
      </c>
      <c r="CD67" s="41">
        <f t="shared" si="23"/>
        <v>0</v>
      </c>
      <c r="CE67" s="41">
        <f t="shared" si="23"/>
        <v>250966.01866222202</v>
      </c>
      <c r="CF67" s="47">
        <f t="shared" si="23"/>
        <v>0</v>
      </c>
      <c r="CG67" s="47">
        <f t="shared" si="23"/>
        <v>0</v>
      </c>
      <c r="CH67" s="92">
        <f t="shared" si="53"/>
        <v>250966.01866222202</v>
      </c>
      <c r="CI67" s="82">
        <f>IF($B67=DA$20,'OBC Cost _Van Oord 2022'!$E$30,0)</f>
        <v>0</v>
      </c>
      <c r="CJ67" s="38">
        <f t="shared" si="54"/>
        <v>201530</v>
      </c>
      <c r="CK67" s="38"/>
      <c r="CL67" s="38"/>
      <c r="CM67" s="38"/>
      <c r="CN67" s="38"/>
      <c r="CO67" s="38"/>
      <c r="CP67" s="38"/>
      <c r="CQ67" s="38"/>
      <c r="CR67" s="38"/>
      <c r="CS67" s="38"/>
      <c r="CT67" s="38"/>
      <c r="CU67" s="38"/>
      <c r="CV67" s="38"/>
      <c r="CW67" s="38"/>
      <c r="CX67" s="38"/>
      <c r="CY67" s="38"/>
      <c r="CZ67" s="38"/>
      <c r="DA67" s="38"/>
      <c r="DB67" s="45">
        <f t="shared" si="103"/>
        <v>60459</v>
      </c>
      <c r="DC67" s="45"/>
      <c r="DD67" s="46">
        <f t="shared" si="117"/>
        <v>261989</v>
      </c>
      <c r="DE67" s="41">
        <f t="shared" si="99"/>
        <v>0</v>
      </c>
      <c r="DF67" s="41">
        <f t="shared" si="27"/>
        <v>50359.628147400836</v>
      </c>
      <c r="DG67" s="47"/>
      <c r="DH67" s="47"/>
      <c r="DI67" s="47"/>
      <c r="DJ67" s="47"/>
      <c r="DK67" s="47"/>
      <c r="DL67" s="47"/>
      <c r="DM67" s="47"/>
      <c r="DN67" s="47"/>
      <c r="DO67" s="47"/>
      <c r="DP67" s="47"/>
      <c r="DQ67" s="47"/>
      <c r="DR67" s="47"/>
      <c r="DS67" s="47"/>
      <c r="DT67" s="47"/>
      <c r="DU67" s="47"/>
      <c r="DV67" s="47"/>
      <c r="DW67" s="47"/>
      <c r="DX67" s="47">
        <f t="shared" si="101"/>
        <v>15107.888444220251</v>
      </c>
      <c r="DY67" s="92">
        <f t="shared" si="118"/>
        <v>65467.516591621083</v>
      </c>
    </row>
    <row r="68" spans="2:129" s="3" customFormat="1" ht="12.75" x14ac:dyDescent="0.2">
      <c r="B68" s="12">
        <f t="shared" si="30"/>
        <v>43</v>
      </c>
      <c r="C68" s="13">
        <f t="shared" si="107"/>
        <v>0.24260826111027742</v>
      </c>
      <c r="D68" s="82">
        <f>IF($B68=F$20,'Construction Costs_2022'!$K$22+'Construction Costs_2022'!$K$7,0)</f>
        <v>0</v>
      </c>
      <c r="E68" s="38">
        <f t="shared" si="32"/>
        <v>28800</v>
      </c>
      <c r="F68" s="38"/>
      <c r="G68" s="45"/>
      <c r="H68" s="46">
        <f t="shared" si="108"/>
        <v>28800</v>
      </c>
      <c r="I68" s="41">
        <f t="shared" si="109"/>
        <v>0</v>
      </c>
      <c r="J68" s="41">
        <f t="shared" si="109"/>
        <v>6987.1179199759899</v>
      </c>
      <c r="K68" s="47">
        <f t="shared" si="109"/>
        <v>0</v>
      </c>
      <c r="L68" s="47">
        <f t="shared" si="109"/>
        <v>0</v>
      </c>
      <c r="M68" s="92">
        <f t="shared" si="33"/>
        <v>6987.1179199759899</v>
      </c>
      <c r="N68" s="91">
        <f>IF($B68=P$20,'Construction Costs_2022'!$K$43+'Construction Costs_2022'!$K$7,0)</f>
        <v>0</v>
      </c>
      <c r="O68" s="38">
        <f t="shared" si="34"/>
        <v>43200</v>
      </c>
      <c r="P68" s="38"/>
      <c r="Q68" s="45"/>
      <c r="R68" s="46">
        <f t="shared" si="110"/>
        <v>43200</v>
      </c>
      <c r="S68" s="41">
        <f t="shared" si="105"/>
        <v>0</v>
      </c>
      <c r="T68" s="41">
        <f t="shared" si="105"/>
        <v>10480.676879963985</v>
      </c>
      <c r="U68" s="47">
        <f t="shared" si="104"/>
        <v>0</v>
      </c>
      <c r="V68" s="47">
        <f t="shared" si="106"/>
        <v>0</v>
      </c>
      <c r="W68" s="92">
        <f t="shared" si="36"/>
        <v>10480.676879963985</v>
      </c>
      <c r="X68" s="82">
        <f>IF($B68=AP$20,'OBC Cost _Van Oord 2022'!$E$30,0)</f>
        <v>0</v>
      </c>
      <c r="Y68" s="38">
        <f t="shared" si="37"/>
        <v>0</v>
      </c>
      <c r="Z68" s="38"/>
      <c r="AA68" s="38"/>
      <c r="AB68" s="38"/>
      <c r="AC68" s="38"/>
      <c r="AD68" s="38"/>
      <c r="AE68" s="38"/>
      <c r="AF68" s="38"/>
      <c r="AG68" s="38"/>
      <c r="AH68" s="38"/>
      <c r="AI68" s="38"/>
      <c r="AJ68" s="38"/>
      <c r="AK68" s="38"/>
      <c r="AL68" s="38"/>
      <c r="AM68" s="38"/>
      <c r="AN68" s="38"/>
      <c r="AO68" s="38"/>
      <c r="AP68" s="38"/>
      <c r="AQ68" s="45">
        <f t="shared" si="102"/>
        <v>0</v>
      </c>
      <c r="AR68" s="45"/>
      <c r="AS68" s="46">
        <f t="shared" si="111"/>
        <v>0</v>
      </c>
      <c r="AT68" s="41">
        <f t="shared" si="112"/>
        <v>0</v>
      </c>
      <c r="AU68" s="41">
        <f t="shared" si="113"/>
        <v>0</v>
      </c>
      <c r="AV68" s="47"/>
      <c r="AW68" s="47"/>
      <c r="AX68" s="47"/>
      <c r="AY68" s="47"/>
      <c r="AZ68" s="47"/>
      <c r="BA68" s="47"/>
      <c r="BB68" s="47"/>
      <c r="BC68" s="47"/>
      <c r="BD68" s="47"/>
      <c r="BE68" s="47"/>
      <c r="BF68" s="47"/>
      <c r="BG68" s="47"/>
      <c r="BH68" s="47"/>
      <c r="BI68" s="47"/>
      <c r="BJ68" s="47"/>
      <c r="BK68" s="47"/>
      <c r="BL68" s="47"/>
      <c r="BM68" s="47">
        <f t="shared" si="96"/>
        <v>0</v>
      </c>
      <c r="BN68" s="92">
        <f t="shared" si="114"/>
        <v>0</v>
      </c>
      <c r="BO68" s="82">
        <f>IF($B68=BQ$20,'Construction Costs_2022'!$K$84+'Construction Costs_2022'!$K$7,0)</f>
        <v>0</v>
      </c>
      <c r="BP68" s="38">
        <f t="shared" si="115"/>
        <v>0</v>
      </c>
      <c r="BQ68" s="38"/>
      <c r="BR68" s="45"/>
      <c r="BS68" s="46">
        <f t="shared" si="97"/>
        <v>0</v>
      </c>
      <c r="BT68" s="41">
        <f t="shared" si="20"/>
        <v>0</v>
      </c>
      <c r="BU68" s="41">
        <f t="shared" si="20"/>
        <v>0</v>
      </c>
      <c r="BV68" s="47">
        <f t="shared" si="20"/>
        <v>0</v>
      </c>
      <c r="BW68" s="47">
        <f t="shared" si="20"/>
        <v>0</v>
      </c>
      <c r="BX68" s="92">
        <f t="shared" si="52"/>
        <v>0</v>
      </c>
      <c r="BY68" s="82">
        <f>IF($B68=CA$20,'Construction Costs_2022'!$K$104+'Construction Costs_2022'!$K$7,0)</f>
        <v>0</v>
      </c>
      <c r="BZ68" s="38">
        <f t="shared" si="116"/>
        <v>0</v>
      </c>
      <c r="CA68" s="38"/>
      <c r="CB68" s="45"/>
      <c r="CC68" s="46">
        <f t="shared" si="98"/>
        <v>0</v>
      </c>
      <c r="CD68" s="41">
        <f t="shared" si="23"/>
        <v>0</v>
      </c>
      <c r="CE68" s="41">
        <f t="shared" si="23"/>
        <v>0</v>
      </c>
      <c r="CF68" s="47">
        <f t="shared" si="23"/>
        <v>0</v>
      </c>
      <c r="CG68" s="47">
        <f t="shared" si="23"/>
        <v>0</v>
      </c>
      <c r="CH68" s="92">
        <f t="shared" si="53"/>
        <v>0</v>
      </c>
      <c r="CI68" s="82">
        <f>IF($B68=DA$20,'OBC Cost _Van Oord 2022'!$E$30,0)</f>
        <v>0</v>
      </c>
      <c r="CJ68" s="38">
        <f t="shared" si="54"/>
        <v>0</v>
      </c>
      <c r="CK68" s="38"/>
      <c r="CL68" s="38"/>
      <c r="CM68" s="38"/>
      <c r="CN68" s="38"/>
      <c r="CO68" s="38"/>
      <c r="CP68" s="38"/>
      <c r="CQ68" s="38"/>
      <c r="CR68" s="38"/>
      <c r="CS68" s="38"/>
      <c r="CT68" s="38"/>
      <c r="CU68" s="38"/>
      <c r="CV68" s="38"/>
      <c r="CW68" s="38"/>
      <c r="CX68" s="38"/>
      <c r="CY68" s="38"/>
      <c r="CZ68" s="38"/>
      <c r="DA68" s="38"/>
      <c r="DB68" s="45">
        <f t="shared" si="103"/>
        <v>0</v>
      </c>
      <c r="DC68" s="45"/>
      <c r="DD68" s="46">
        <f t="shared" si="117"/>
        <v>0</v>
      </c>
      <c r="DE68" s="41">
        <f t="shared" si="99"/>
        <v>0</v>
      </c>
      <c r="DF68" s="41">
        <f t="shared" si="27"/>
        <v>0</v>
      </c>
      <c r="DG68" s="47"/>
      <c r="DH68" s="47"/>
      <c r="DI68" s="47"/>
      <c r="DJ68" s="47"/>
      <c r="DK68" s="47"/>
      <c r="DL68" s="47"/>
      <c r="DM68" s="47"/>
      <c r="DN68" s="47"/>
      <c r="DO68" s="47"/>
      <c r="DP68" s="47"/>
      <c r="DQ68" s="47"/>
      <c r="DR68" s="47"/>
      <c r="DS68" s="47"/>
      <c r="DT68" s="47"/>
      <c r="DU68" s="47"/>
      <c r="DV68" s="47"/>
      <c r="DW68" s="47"/>
      <c r="DX68" s="47">
        <f t="shared" si="101"/>
        <v>0</v>
      </c>
      <c r="DY68" s="92">
        <f t="shared" si="118"/>
        <v>0</v>
      </c>
    </row>
    <row r="69" spans="2:129" s="3" customFormat="1" ht="12.75" x14ac:dyDescent="0.2">
      <c r="B69" s="12">
        <f t="shared" si="30"/>
        <v>44</v>
      </c>
      <c r="C69" s="13">
        <f t="shared" si="107"/>
        <v>0.23554200107793924</v>
      </c>
      <c r="D69" s="82">
        <f>IF($B69=F$20,'Construction Costs_2022'!$K$22+'Construction Costs_2022'!$K$7,0)</f>
        <v>0</v>
      </c>
      <c r="E69" s="38">
        <f t="shared" si="32"/>
        <v>28800</v>
      </c>
      <c r="F69" s="38"/>
      <c r="G69" s="45"/>
      <c r="H69" s="46">
        <f t="shared" si="108"/>
        <v>28800</v>
      </c>
      <c r="I69" s="41">
        <f t="shared" si="109"/>
        <v>0</v>
      </c>
      <c r="J69" s="41">
        <f t="shared" si="109"/>
        <v>6783.6096310446501</v>
      </c>
      <c r="K69" s="47">
        <f t="shared" si="109"/>
        <v>0</v>
      </c>
      <c r="L69" s="47">
        <f t="shared" si="109"/>
        <v>0</v>
      </c>
      <c r="M69" s="92">
        <f t="shared" si="33"/>
        <v>6783.6096310446501</v>
      </c>
      <c r="N69" s="91">
        <f>IF($B69=P$20,'Construction Costs_2022'!$K$43+'Construction Costs_2022'!$K$7,0)</f>
        <v>0</v>
      </c>
      <c r="O69" s="38">
        <f t="shared" si="34"/>
        <v>43200</v>
      </c>
      <c r="P69" s="38"/>
      <c r="Q69" s="45"/>
      <c r="R69" s="46">
        <f t="shared" si="110"/>
        <v>43200</v>
      </c>
      <c r="S69" s="41">
        <f t="shared" si="105"/>
        <v>0</v>
      </c>
      <c r="T69" s="41">
        <f t="shared" si="105"/>
        <v>10175.414446566976</v>
      </c>
      <c r="U69" s="47">
        <f t="shared" si="104"/>
        <v>0</v>
      </c>
      <c r="V69" s="47">
        <f t="shared" si="106"/>
        <v>0</v>
      </c>
      <c r="W69" s="92">
        <f t="shared" si="36"/>
        <v>10175.414446566976</v>
      </c>
      <c r="X69" s="82">
        <f>IF($B69=AP$20,'OBC Cost _Van Oord 2022'!$E$30,0)</f>
        <v>0</v>
      </c>
      <c r="Y69" s="38">
        <f t="shared" si="37"/>
        <v>0</v>
      </c>
      <c r="Z69" s="38"/>
      <c r="AA69" s="38"/>
      <c r="AB69" s="38"/>
      <c r="AC69" s="38"/>
      <c r="AD69" s="38"/>
      <c r="AE69" s="38"/>
      <c r="AF69" s="38"/>
      <c r="AG69" s="38"/>
      <c r="AH69" s="38"/>
      <c r="AI69" s="38"/>
      <c r="AJ69" s="38"/>
      <c r="AK69" s="38"/>
      <c r="AL69" s="38"/>
      <c r="AM69" s="38"/>
      <c r="AN69" s="38"/>
      <c r="AO69" s="38"/>
      <c r="AP69" s="38"/>
      <c r="AQ69" s="45">
        <f t="shared" si="102"/>
        <v>0</v>
      </c>
      <c r="AR69" s="45"/>
      <c r="AS69" s="46">
        <f t="shared" si="111"/>
        <v>0</v>
      </c>
      <c r="AT69" s="41">
        <f t="shared" si="112"/>
        <v>0</v>
      </c>
      <c r="AU69" s="41">
        <f t="shared" si="113"/>
        <v>0</v>
      </c>
      <c r="AV69" s="47"/>
      <c r="AW69" s="47"/>
      <c r="AX69" s="47"/>
      <c r="AY69" s="47"/>
      <c r="AZ69" s="47"/>
      <c r="BA69" s="47"/>
      <c r="BB69" s="47"/>
      <c r="BC69" s="47"/>
      <c r="BD69" s="47"/>
      <c r="BE69" s="47"/>
      <c r="BF69" s="47"/>
      <c r="BG69" s="47"/>
      <c r="BH69" s="47"/>
      <c r="BI69" s="47"/>
      <c r="BJ69" s="47"/>
      <c r="BK69" s="47"/>
      <c r="BL69" s="47"/>
      <c r="BM69" s="47">
        <f t="shared" si="96"/>
        <v>0</v>
      </c>
      <c r="BN69" s="92">
        <f t="shared" si="114"/>
        <v>0</v>
      </c>
      <c r="BO69" s="82">
        <f>IF($B69=BQ$20,'Construction Costs_2022'!$K$84+'Construction Costs_2022'!$K$7,0)</f>
        <v>0</v>
      </c>
      <c r="BP69" s="38">
        <f t="shared" si="115"/>
        <v>0</v>
      </c>
      <c r="BQ69" s="38"/>
      <c r="BR69" s="45"/>
      <c r="BS69" s="46">
        <f t="shared" si="97"/>
        <v>0</v>
      </c>
      <c r="BT69" s="41">
        <f t="shared" si="20"/>
        <v>0</v>
      </c>
      <c r="BU69" s="41">
        <f t="shared" si="20"/>
        <v>0</v>
      </c>
      <c r="BV69" s="47">
        <f t="shared" si="20"/>
        <v>0</v>
      </c>
      <c r="BW69" s="47">
        <f t="shared" si="20"/>
        <v>0</v>
      </c>
      <c r="BX69" s="92">
        <f t="shared" si="52"/>
        <v>0</v>
      </c>
      <c r="BY69" s="82">
        <f>IF($B69=CA$20,'Construction Costs_2022'!$K$104+'Construction Costs_2022'!$K$7,0)</f>
        <v>0</v>
      </c>
      <c r="BZ69" s="38">
        <f t="shared" si="116"/>
        <v>0</v>
      </c>
      <c r="CA69" s="38"/>
      <c r="CB69" s="45"/>
      <c r="CC69" s="46">
        <f t="shared" si="98"/>
        <v>0</v>
      </c>
      <c r="CD69" s="41">
        <f t="shared" si="23"/>
        <v>0</v>
      </c>
      <c r="CE69" s="41">
        <f t="shared" si="23"/>
        <v>0</v>
      </c>
      <c r="CF69" s="47">
        <f t="shared" si="23"/>
        <v>0</v>
      </c>
      <c r="CG69" s="47">
        <f t="shared" si="23"/>
        <v>0</v>
      </c>
      <c r="CH69" s="92">
        <f t="shared" si="53"/>
        <v>0</v>
      </c>
      <c r="CI69" s="82">
        <f>IF($B69=DA$20,'OBC Cost _Van Oord 2022'!$E$30,0)</f>
        <v>0</v>
      </c>
      <c r="CJ69" s="38">
        <f t="shared" si="54"/>
        <v>0</v>
      </c>
      <c r="CK69" s="38"/>
      <c r="CL69" s="38"/>
      <c r="CM69" s="38"/>
      <c r="CN69" s="38"/>
      <c r="CO69" s="38"/>
      <c r="CP69" s="38"/>
      <c r="CQ69" s="38"/>
      <c r="CR69" s="38"/>
      <c r="CS69" s="38"/>
      <c r="CT69" s="38"/>
      <c r="CU69" s="38"/>
      <c r="CV69" s="38"/>
      <c r="CW69" s="38"/>
      <c r="CX69" s="38"/>
      <c r="CY69" s="38"/>
      <c r="CZ69" s="38"/>
      <c r="DA69" s="38"/>
      <c r="DB69" s="45">
        <f t="shared" si="103"/>
        <v>0</v>
      </c>
      <c r="DC69" s="45"/>
      <c r="DD69" s="46">
        <f t="shared" si="117"/>
        <v>0</v>
      </c>
      <c r="DE69" s="41">
        <f t="shared" si="99"/>
        <v>0</v>
      </c>
      <c r="DF69" s="41">
        <f t="shared" si="27"/>
        <v>0</v>
      </c>
      <c r="DG69" s="47"/>
      <c r="DH69" s="47"/>
      <c r="DI69" s="47"/>
      <c r="DJ69" s="47"/>
      <c r="DK69" s="47"/>
      <c r="DL69" s="47"/>
      <c r="DM69" s="47"/>
      <c r="DN69" s="47"/>
      <c r="DO69" s="47"/>
      <c r="DP69" s="47"/>
      <c r="DQ69" s="47"/>
      <c r="DR69" s="47"/>
      <c r="DS69" s="47"/>
      <c r="DT69" s="47"/>
      <c r="DU69" s="47"/>
      <c r="DV69" s="47"/>
      <c r="DW69" s="47"/>
      <c r="DX69" s="47">
        <f t="shared" si="101"/>
        <v>0</v>
      </c>
      <c r="DY69" s="92">
        <f t="shared" si="118"/>
        <v>0</v>
      </c>
    </row>
    <row r="70" spans="2:129" s="3" customFormat="1" ht="12.75" x14ac:dyDescent="0.2">
      <c r="B70" s="12">
        <f t="shared" si="30"/>
        <v>45</v>
      </c>
      <c r="C70" s="13">
        <f t="shared" si="107"/>
        <v>0.2286815544446012</v>
      </c>
      <c r="D70" s="82">
        <f>IF($B70=F$20,'Construction Costs_2022'!$K$22+'Construction Costs_2022'!$K$7,0)</f>
        <v>0</v>
      </c>
      <c r="E70" s="38">
        <f t="shared" si="32"/>
        <v>28800</v>
      </c>
      <c r="F70" s="38"/>
      <c r="G70" s="45"/>
      <c r="H70" s="46">
        <f t="shared" si="108"/>
        <v>28800</v>
      </c>
      <c r="I70" s="41">
        <f t="shared" si="109"/>
        <v>0</v>
      </c>
      <c r="J70" s="41">
        <f t="shared" si="109"/>
        <v>6586.0287680045149</v>
      </c>
      <c r="K70" s="47">
        <f t="shared" si="109"/>
        <v>0</v>
      </c>
      <c r="L70" s="47">
        <f t="shared" si="109"/>
        <v>0</v>
      </c>
      <c r="M70" s="92">
        <f t="shared" si="33"/>
        <v>6586.0287680045149</v>
      </c>
      <c r="N70" s="91">
        <f>IF($B70=P$20,'Construction Costs_2022'!$K$43+'Construction Costs_2022'!$K$7,0)</f>
        <v>0</v>
      </c>
      <c r="O70" s="38">
        <f t="shared" si="34"/>
        <v>43200</v>
      </c>
      <c r="P70" s="38"/>
      <c r="Q70" s="45"/>
      <c r="R70" s="46">
        <f t="shared" si="110"/>
        <v>43200</v>
      </c>
      <c r="S70" s="41">
        <f t="shared" si="105"/>
        <v>0</v>
      </c>
      <c r="T70" s="41">
        <f t="shared" si="105"/>
        <v>9879.0431520067723</v>
      </c>
      <c r="U70" s="47">
        <f t="shared" si="104"/>
        <v>0</v>
      </c>
      <c r="V70" s="47">
        <f t="shared" si="106"/>
        <v>0</v>
      </c>
      <c r="W70" s="92">
        <f t="shared" si="36"/>
        <v>9879.0431520067723</v>
      </c>
      <c r="X70" s="82">
        <f>IF($B70=AP$20,'OBC Cost _Van Oord 2022'!$E$30,0)</f>
        <v>0</v>
      </c>
      <c r="Y70" s="38">
        <f t="shared" si="37"/>
        <v>0</v>
      </c>
      <c r="Z70" s="38"/>
      <c r="AA70" s="38"/>
      <c r="AB70" s="38"/>
      <c r="AC70" s="38"/>
      <c r="AD70" s="38"/>
      <c r="AE70" s="38"/>
      <c r="AF70" s="38"/>
      <c r="AG70" s="38"/>
      <c r="AH70" s="38"/>
      <c r="AI70" s="38"/>
      <c r="AJ70" s="38"/>
      <c r="AK70" s="38"/>
      <c r="AL70" s="38"/>
      <c r="AM70" s="38"/>
      <c r="AN70" s="38"/>
      <c r="AO70" s="38"/>
      <c r="AP70" s="38"/>
      <c r="AQ70" s="45">
        <f t="shared" si="102"/>
        <v>0</v>
      </c>
      <c r="AR70" s="45"/>
      <c r="AS70" s="46">
        <f t="shared" si="111"/>
        <v>0</v>
      </c>
      <c r="AT70" s="41">
        <f t="shared" si="112"/>
        <v>0</v>
      </c>
      <c r="AU70" s="41">
        <f t="shared" si="113"/>
        <v>0</v>
      </c>
      <c r="AV70" s="47"/>
      <c r="AW70" s="47"/>
      <c r="AX70" s="47"/>
      <c r="AY70" s="47"/>
      <c r="AZ70" s="47"/>
      <c r="BA70" s="47"/>
      <c r="BB70" s="47"/>
      <c r="BC70" s="47"/>
      <c r="BD70" s="47"/>
      <c r="BE70" s="47"/>
      <c r="BF70" s="47"/>
      <c r="BG70" s="47"/>
      <c r="BH70" s="47"/>
      <c r="BI70" s="47"/>
      <c r="BJ70" s="47"/>
      <c r="BK70" s="47"/>
      <c r="BL70" s="47"/>
      <c r="BM70" s="47">
        <f t="shared" si="96"/>
        <v>0</v>
      </c>
      <c r="BN70" s="92">
        <f t="shared" si="114"/>
        <v>0</v>
      </c>
      <c r="BO70" s="82">
        <f>IF($B70=BQ$20,'Construction Costs_2022'!$K$84+'Construction Costs_2022'!$K$7,0)</f>
        <v>0</v>
      </c>
      <c r="BP70" s="38">
        <f t="shared" si="115"/>
        <v>0</v>
      </c>
      <c r="BQ70" s="38"/>
      <c r="BR70" s="45"/>
      <c r="BS70" s="46">
        <f t="shared" si="97"/>
        <v>0</v>
      </c>
      <c r="BT70" s="41">
        <f t="shared" si="20"/>
        <v>0</v>
      </c>
      <c r="BU70" s="41">
        <f t="shared" si="20"/>
        <v>0</v>
      </c>
      <c r="BV70" s="47">
        <f t="shared" si="20"/>
        <v>0</v>
      </c>
      <c r="BW70" s="47">
        <f t="shared" si="20"/>
        <v>0</v>
      </c>
      <c r="BX70" s="92">
        <f t="shared" si="52"/>
        <v>0</v>
      </c>
      <c r="BY70" s="82">
        <f>IF($B70=CA$20,'Construction Costs_2022'!$K$104+'Construction Costs_2022'!$K$7,0)</f>
        <v>0</v>
      </c>
      <c r="BZ70" s="38">
        <f t="shared" si="116"/>
        <v>0</v>
      </c>
      <c r="CA70" s="38"/>
      <c r="CB70" s="45"/>
      <c r="CC70" s="46">
        <f t="shared" si="98"/>
        <v>0</v>
      </c>
      <c r="CD70" s="41">
        <f t="shared" si="23"/>
        <v>0</v>
      </c>
      <c r="CE70" s="41">
        <f t="shared" si="23"/>
        <v>0</v>
      </c>
      <c r="CF70" s="47">
        <f t="shared" si="23"/>
        <v>0</v>
      </c>
      <c r="CG70" s="47">
        <f t="shared" si="23"/>
        <v>0</v>
      </c>
      <c r="CH70" s="92">
        <f t="shared" si="53"/>
        <v>0</v>
      </c>
      <c r="CI70" s="82">
        <f>IF($B70=DA$20,'OBC Cost _Van Oord 2022'!$E$30,0)</f>
        <v>0</v>
      </c>
      <c r="CJ70" s="38">
        <f t="shared" si="54"/>
        <v>0</v>
      </c>
      <c r="CK70" s="38"/>
      <c r="CL70" s="38"/>
      <c r="CM70" s="38"/>
      <c r="CN70" s="38"/>
      <c r="CO70" s="38"/>
      <c r="CP70" s="38"/>
      <c r="CQ70" s="38"/>
      <c r="CR70" s="38"/>
      <c r="CS70" s="38"/>
      <c r="CT70" s="38"/>
      <c r="CU70" s="38"/>
      <c r="CV70" s="38"/>
      <c r="CW70" s="38"/>
      <c r="CX70" s="38"/>
      <c r="CY70" s="38"/>
      <c r="CZ70" s="38"/>
      <c r="DA70" s="38"/>
      <c r="DB70" s="45">
        <f t="shared" si="103"/>
        <v>0</v>
      </c>
      <c r="DC70" s="45"/>
      <c r="DD70" s="46">
        <f t="shared" si="117"/>
        <v>0</v>
      </c>
      <c r="DE70" s="41">
        <f t="shared" si="99"/>
        <v>0</v>
      </c>
      <c r="DF70" s="41">
        <f t="shared" si="27"/>
        <v>0</v>
      </c>
      <c r="DG70" s="47"/>
      <c r="DH70" s="47"/>
      <c r="DI70" s="47"/>
      <c r="DJ70" s="47"/>
      <c r="DK70" s="47"/>
      <c r="DL70" s="47"/>
      <c r="DM70" s="47"/>
      <c r="DN70" s="47"/>
      <c r="DO70" s="47"/>
      <c r="DP70" s="47"/>
      <c r="DQ70" s="47"/>
      <c r="DR70" s="47"/>
      <c r="DS70" s="47"/>
      <c r="DT70" s="47"/>
      <c r="DU70" s="47"/>
      <c r="DV70" s="47"/>
      <c r="DW70" s="47"/>
      <c r="DX70" s="47">
        <f t="shared" si="101"/>
        <v>0</v>
      </c>
      <c r="DY70" s="92">
        <f t="shared" si="118"/>
        <v>0</v>
      </c>
    </row>
    <row r="71" spans="2:129" s="3" customFormat="1" ht="12.75" x14ac:dyDescent="0.2">
      <c r="B71" s="12">
        <f t="shared" si="30"/>
        <v>46</v>
      </c>
      <c r="C71" s="13">
        <f t="shared" si="107"/>
        <v>0.22202092664524387</v>
      </c>
      <c r="D71" s="82">
        <f>IF($B71=F$20,'Construction Costs_2022'!$K$22+'Construction Costs_2022'!$K$7,0)</f>
        <v>0</v>
      </c>
      <c r="E71" s="38">
        <f t="shared" si="32"/>
        <v>28800</v>
      </c>
      <c r="F71" s="38"/>
      <c r="G71" s="45"/>
      <c r="H71" s="46">
        <f t="shared" si="108"/>
        <v>28800</v>
      </c>
      <c r="I71" s="41">
        <f t="shared" si="109"/>
        <v>0</v>
      </c>
      <c r="J71" s="41">
        <f t="shared" si="109"/>
        <v>6394.2026873830237</v>
      </c>
      <c r="K71" s="47">
        <f t="shared" si="109"/>
        <v>0</v>
      </c>
      <c r="L71" s="47">
        <f t="shared" si="109"/>
        <v>0</v>
      </c>
      <c r="M71" s="92">
        <f t="shared" si="33"/>
        <v>6394.2026873830237</v>
      </c>
      <c r="N71" s="91">
        <f>IF($B71=P$20,'Construction Costs_2022'!$K$43+'Construction Costs_2022'!$K$7,0)</f>
        <v>0</v>
      </c>
      <c r="O71" s="38">
        <f t="shared" si="34"/>
        <v>43200</v>
      </c>
      <c r="P71" s="38"/>
      <c r="Q71" s="45"/>
      <c r="R71" s="46">
        <f t="shared" si="110"/>
        <v>43200</v>
      </c>
      <c r="S71" s="41">
        <f t="shared" si="105"/>
        <v>0</v>
      </c>
      <c r="T71" s="41">
        <f t="shared" si="105"/>
        <v>9591.3040310745346</v>
      </c>
      <c r="U71" s="47">
        <f t="shared" si="104"/>
        <v>0</v>
      </c>
      <c r="V71" s="47">
        <f t="shared" si="106"/>
        <v>0</v>
      </c>
      <c r="W71" s="92">
        <f t="shared" si="36"/>
        <v>9591.3040310745346</v>
      </c>
      <c r="X71" s="82">
        <f>IF($B71=AP$20,'OBC Cost _Van Oord 2022'!$E$30,0)</f>
        <v>0</v>
      </c>
      <c r="Y71" s="38">
        <f t="shared" si="37"/>
        <v>0</v>
      </c>
      <c r="Z71" s="38"/>
      <c r="AA71" s="38"/>
      <c r="AB71" s="38"/>
      <c r="AC71" s="38"/>
      <c r="AD71" s="38"/>
      <c r="AE71" s="38"/>
      <c r="AF71" s="38"/>
      <c r="AG71" s="38"/>
      <c r="AH71" s="38"/>
      <c r="AI71" s="38"/>
      <c r="AJ71" s="38"/>
      <c r="AK71" s="38"/>
      <c r="AL71" s="38"/>
      <c r="AM71" s="38"/>
      <c r="AN71" s="38"/>
      <c r="AO71" s="38"/>
      <c r="AP71" s="38"/>
      <c r="AQ71" s="45">
        <f t="shared" si="102"/>
        <v>0</v>
      </c>
      <c r="AR71" s="45"/>
      <c r="AS71" s="46">
        <f t="shared" si="111"/>
        <v>0</v>
      </c>
      <c r="AT71" s="41">
        <f t="shared" si="112"/>
        <v>0</v>
      </c>
      <c r="AU71" s="41">
        <f t="shared" si="113"/>
        <v>0</v>
      </c>
      <c r="AV71" s="47"/>
      <c r="AW71" s="47"/>
      <c r="AX71" s="47"/>
      <c r="AY71" s="47"/>
      <c r="AZ71" s="47"/>
      <c r="BA71" s="47"/>
      <c r="BB71" s="47"/>
      <c r="BC71" s="47"/>
      <c r="BD71" s="47"/>
      <c r="BE71" s="47"/>
      <c r="BF71" s="47"/>
      <c r="BG71" s="47"/>
      <c r="BH71" s="47"/>
      <c r="BI71" s="47"/>
      <c r="BJ71" s="47"/>
      <c r="BK71" s="47"/>
      <c r="BL71" s="47"/>
      <c r="BM71" s="47">
        <f t="shared" si="96"/>
        <v>0</v>
      </c>
      <c r="BN71" s="92">
        <f t="shared" si="114"/>
        <v>0</v>
      </c>
      <c r="BO71" s="82">
        <f>IF($B71=BQ$20,'Construction Costs_2022'!$K$84+'Construction Costs_2022'!$K$7,0)</f>
        <v>0</v>
      </c>
      <c r="BP71" s="38">
        <f t="shared" si="115"/>
        <v>0</v>
      </c>
      <c r="BQ71" s="38"/>
      <c r="BR71" s="45"/>
      <c r="BS71" s="46">
        <f t="shared" si="97"/>
        <v>0</v>
      </c>
      <c r="BT71" s="41">
        <f t="shared" si="20"/>
        <v>0</v>
      </c>
      <c r="BU71" s="41">
        <f t="shared" si="20"/>
        <v>0</v>
      </c>
      <c r="BV71" s="47">
        <f t="shared" si="20"/>
        <v>0</v>
      </c>
      <c r="BW71" s="47">
        <f t="shared" si="20"/>
        <v>0</v>
      </c>
      <c r="BX71" s="92">
        <f t="shared" si="52"/>
        <v>0</v>
      </c>
      <c r="BY71" s="82">
        <f>IF($B71=CA$20,'Construction Costs_2022'!$K$104+'Construction Costs_2022'!$K$7,0)</f>
        <v>0</v>
      </c>
      <c r="BZ71" s="38">
        <f t="shared" si="116"/>
        <v>0</v>
      </c>
      <c r="CA71" s="38"/>
      <c r="CB71" s="45"/>
      <c r="CC71" s="46">
        <f t="shared" si="98"/>
        <v>0</v>
      </c>
      <c r="CD71" s="41">
        <f t="shared" si="23"/>
        <v>0</v>
      </c>
      <c r="CE71" s="41">
        <f t="shared" si="23"/>
        <v>0</v>
      </c>
      <c r="CF71" s="47">
        <f t="shared" si="23"/>
        <v>0</v>
      </c>
      <c r="CG71" s="47">
        <f t="shared" si="23"/>
        <v>0</v>
      </c>
      <c r="CH71" s="92">
        <f t="shared" si="53"/>
        <v>0</v>
      </c>
      <c r="CI71" s="82">
        <f>IF($B71=DA$20,'OBC Cost _Van Oord 2022'!$E$30,0)</f>
        <v>0</v>
      </c>
      <c r="CJ71" s="38">
        <f t="shared" si="54"/>
        <v>0</v>
      </c>
      <c r="CK71" s="38"/>
      <c r="CL71" s="38"/>
      <c r="CM71" s="38"/>
      <c r="CN71" s="38"/>
      <c r="CO71" s="38"/>
      <c r="CP71" s="38"/>
      <c r="CQ71" s="38"/>
      <c r="CR71" s="38"/>
      <c r="CS71" s="38"/>
      <c r="CT71" s="38"/>
      <c r="CU71" s="38"/>
      <c r="CV71" s="38"/>
      <c r="CW71" s="38"/>
      <c r="CX71" s="38"/>
      <c r="CY71" s="38"/>
      <c r="CZ71" s="38"/>
      <c r="DA71" s="38"/>
      <c r="DB71" s="45">
        <f t="shared" si="103"/>
        <v>0</v>
      </c>
      <c r="DC71" s="45"/>
      <c r="DD71" s="46">
        <f t="shared" si="117"/>
        <v>0</v>
      </c>
      <c r="DE71" s="41">
        <f t="shared" si="99"/>
        <v>0</v>
      </c>
      <c r="DF71" s="41">
        <f t="shared" si="27"/>
        <v>0</v>
      </c>
      <c r="DG71" s="47"/>
      <c r="DH71" s="47"/>
      <c r="DI71" s="47"/>
      <c r="DJ71" s="47"/>
      <c r="DK71" s="47"/>
      <c r="DL71" s="47"/>
      <c r="DM71" s="47"/>
      <c r="DN71" s="47"/>
      <c r="DO71" s="47"/>
      <c r="DP71" s="47"/>
      <c r="DQ71" s="47"/>
      <c r="DR71" s="47"/>
      <c r="DS71" s="47"/>
      <c r="DT71" s="47"/>
      <c r="DU71" s="47"/>
      <c r="DV71" s="47"/>
      <c r="DW71" s="47"/>
      <c r="DX71" s="47">
        <f t="shared" si="101"/>
        <v>0</v>
      </c>
      <c r="DY71" s="92">
        <f t="shared" si="118"/>
        <v>0</v>
      </c>
    </row>
    <row r="72" spans="2:129" s="3" customFormat="1" ht="12.75" x14ac:dyDescent="0.2">
      <c r="B72" s="12">
        <f t="shared" si="30"/>
        <v>47</v>
      </c>
      <c r="C72" s="13">
        <f t="shared" si="107"/>
        <v>0.215554297713829</v>
      </c>
      <c r="D72" s="82">
        <f>IF($B72=F$20,'Construction Costs_2022'!$K$22+'Construction Costs_2022'!$K$7,0)</f>
        <v>0</v>
      </c>
      <c r="E72" s="38">
        <f t="shared" si="32"/>
        <v>28800</v>
      </c>
      <c r="F72" s="38"/>
      <c r="G72" s="45"/>
      <c r="H72" s="46">
        <f t="shared" si="108"/>
        <v>28800</v>
      </c>
      <c r="I72" s="41">
        <f t="shared" si="109"/>
        <v>0</v>
      </c>
      <c r="J72" s="41">
        <f t="shared" si="109"/>
        <v>6207.9637741582756</v>
      </c>
      <c r="K72" s="47">
        <f t="shared" si="109"/>
        <v>0</v>
      </c>
      <c r="L72" s="47">
        <f t="shared" si="109"/>
        <v>0</v>
      </c>
      <c r="M72" s="92">
        <f t="shared" si="33"/>
        <v>6207.9637741582756</v>
      </c>
      <c r="N72" s="91">
        <f>IF($B72=P$20,'Construction Costs_2022'!$K$43+'Construction Costs_2022'!$K$7,0)</f>
        <v>0</v>
      </c>
      <c r="O72" s="38">
        <f t="shared" si="34"/>
        <v>43200</v>
      </c>
      <c r="P72" s="38"/>
      <c r="Q72" s="45"/>
      <c r="R72" s="46">
        <f t="shared" si="110"/>
        <v>43200</v>
      </c>
      <c r="S72" s="41">
        <f t="shared" si="105"/>
        <v>0</v>
      </c>
      <c r="T72" s="41">
        <f t="shared" si="105"/>
        <v>9311.9456612374124</v>
      </c>
      <c r="U72" s="47">
        <f t="shared" si="104"/>
        <v>0</v>
      </c>
      <c r="V72" s="47">
        <f t="shared" si="106"/>
        <v>0</v>
      </c>
      <c r="W72" s="92">
        <f t="shared" si="36"/>
        <v>9311.9456612374124</v>
      </c>
      <c r="X72" s="82">
        <f>IF($B72=AP$20,'OBC Cost _Van Oord 2022'!$E$30,0)</f>
        <v>0</v>
      </c>
      <c r="Y72" s="38">
        <f t="shared" si="37"/>
        <v>86400</v>
      </c>
      <c r="Z72" s="38"/>
      <c r="AA72" s="38"/>
      <c r="AB72" s="38"/>
      <c r="AC72" s="38"/>
      <c r="AD72" s="38"/>
      <c r="AE72" s="38"/>
      <c r="AF72" s="38"/>
      <c r="AG72" s="38"/>
      <c r="AH72" s="38"/>
      <c r="AI72" s="38"/>
      <c r="AJ72" s="38"/>
      <c r="AK72" s="38"/>
      <c r="AL72" s="38"/>
      <c r="AM72" s="38"/>
      <c r="AN72" s="38"/>
      <c r="AO72" s="38"/>
      <c r="AP72" s="38"/>
      <c r="AQ72" s="45">
        <f t="shared" si="102"/>
        <v>22464</v>
      </c>
      <c r="AR72" s="45"/>
      <c r="AS72" s="46">
        <f t="shared" si="111"/>
        <v>108864</v>
      </c>
      <c r="AT72" s="41">
        <f t="shared" si="112"/>
        <v>0</v>
      </c>
      <c r="AU72" s="41">
        <f t="shared" si="113"/>
        <v>18623.891322474825</v>
      </c>
      <c r="AV72" s="47"/>
      <c r="AW72" s="47"/>
      <c r="AX72" s="47"/>
      <c r="AY72" s="47"/>
      <c r="AZ72" s="47"/>
      <c r="BA72" s="47"/>
      <c r="BB72" s="47"/>
      <c r="BC72" s="47"/>
      <c r="BD72" s="47"/>
      <c r="BE72" s="47"/>
      <c r="BF72" s="47"/>
      <c r="BG72" s="47"/>
      <c r="BH72" s="47"/>
      <c r="BI72" s="47"/>
      <c r="BJ72" s="47"/>
      <c r="BK72" s="47"/>
      <c r="BL72" s="47"/>
      <c r="BM72" s="47">
        <f t="shared" si="96"/>
        <v>4842.2117438434543</v>
      </c>
      <c r="BN72" s="92">
        <f t="shared" si="114"/>
        <v>23466.103066318279</v>
      </c>
      <c r="BO72" s="82">
        <f>IF($B72=BQ$20,'Construction Costs_2022'!$K$84+'Construction Costs_2022'!$K$7,0)</f>
        <v>0</v>
      </c>
      <c r="BP72" s="38">
        <f t="shared" si="115"/>
        <v>100800</v>
      </c>
      <c r="BQ72" s="38"/>
      <c r="BR72" s="45"/>
      <c r="BS72" s="46">
        <f t="shared" si="97"/>
        <v>100800</v>
      </c>
      <c r="BT72" s="41">
        <f t="shared" si="20"/>
        <v>0</v>
      </c>
      <c r="BU72" s="41">
        <f t="shared" si="20"/>
        <v>21727.873209553964</v>
      </c>
      <c r="BV72" s="47">
        <f t="shared" si="20"/>
        <v>0</v>
      </c>
      <c r="BW72" s="47">
        <f t="shared" si="20"/>
        <v>0</v>
      </c>
      <c r="BX72" s="92">
        <f t="shared" si="52"/>
        <v>21727.873209553964</v>
      </c>
      <c r="BY72" s="82">
        <f>IF($B72=CA$20,'Construction Costs_2022'!$K$104+'Construction Costs_2022'!$K$7,0)</f>
        <v>0</v>
      </c>
      <c r="BZ72" s="38">
        <f t="shared" si="116"/>
        <v>57600</v>
      </c>
      <c r="CA72" s="38"/>
      <c r="CB72" s="45"/>
      <c r="CC72" s="46">
        <f t="shared" si="98"/>
        <v>57600</v>
      </c>
      <c r="CD72" s="41">
        <f t="shared" si="23"/>
        <v>0</v>
      </c>
      <c r="CE72" s="41">
        <f t="shared" si="23"/>
        <v>12415.927548316551</v>
      </c>
      <c r="CF72" s="47">
        <f t="shared" si="23"/>
        <v>0</v>
      </c>
      <c r="CG72" s="47">
        <f t="shared" si="23"/>
        <v>0</v>
      </c>
      <c r="CH72" s="92">
        <f t="shared" si="53"/>
        <v>12415.927548316551</v>
      </c>
      <c r="CI72" s="82">
        <f>IF($B72=DA$20,'OBC Cost _Van Oord 2022'!$E$30,0)</f>
        <v>0</v>
      </c>
      <c r="CJ72" s="38">
        <f t="shared" si="54"/>
        <v>86400</v>
      </c>
      <c r="CK72" s="38"/>
      <c r="CL72" s="38"/>
      <c r="CM72" s="38"/>
      <c r="CN72" s="38"/>
      <c r="CO72" s="38"/>
      <c r="CP72" s="38"/>
      <c r="CQ72" s="38"/>
      <c r="CR72" s="38"/>
      <c r="CS72" s="38"/>
      <c r="CT72" s="38"/>
      <c r="CU72" s="38"/>
      <c r="CV72" s="38"/>
      <c r="CW72" s="38"/>
      <c r="CX72" s="38"/>
      <c r="CY72" s="38"/>
      <c r="CZ72" s="38"/>
      <c r="DA72" s="38"/>
      <c r="DB72" s="45">
        <f t="shared" si="103"/>
        <v>25920</v>
      </c>
      <c r="DC72" s="45"/>
      <c r="DD72" s="46">
        <f t="shared" si="117"/>
        <v>112320</v>
      </c>
      <c r="DE72" s="41">
        <f t="shared" si="99"/>
        <v>0</v>
      </c>
      <c r="DF72" s="41">
        <f t="shared" si="27"/>
        <v>18623.891322474825</v>
      </c>
      <c r="DG72" s="47"/>
      <c r="DH72" s="47"/>
      <c r="DI72" s="47"/>
      <c r="DJ72" s="47"/>
      <c r="DK72" s="47"/>
      <c r="DL72" s="47"/>
      <c r="DM72" s="47"/>
      <c r="DN72" s="47"/>
      <c r="DO72" s="47"/>
      <c r="DP72" s="47"/>
      <c r="DQ72" s="47"/>
      <c r="DR72" s="47"/>
      <c r="DS72" s="47"/>
      <c r="DT72" s="47"/>
      <c r="DU72" s="47"/>
      <c r="DV72" s="47"/>
      <c r="DW72" s="47"/>
      <c r="DX72" s="47">
        <f t="shared" si="101"/>
        <v>5587.1673967424476</v>
      </c>
      <c r="DY72" s="92">
        <f t="shared" si="118"/>
        <v>24211.058719217272</v>
      </c>
    </row>
    <row r="73" spans="2:129" s="3" customFormat="1" ht="12.75" x14ac:dyDescent="0.2">
      <c r="B73" s="12">
        <f t="shared" si="30"/>
        <v>48</v>
      </c>
      <c r="C73" s="13">
        <f t="shared" si="107"/>
        <v>0.20927601719789224</v>
      </c>
      <c r="D73" s="82">
        <f>IF($B73=F$20,'Construction Costs_2022'!$K$22+'Construction Costs_2022'!$K$7,0)</f>
        <v>0</v>
      </c>
      <c r="E73" s="38">
        <f t="shared" si="32"/>
        <v>28800</v>
      </c>
      <c r="F73" s="38"/>
      <c r="G73" s="45"/>
      <c r="H73" s="46">
        <f t="shared" si="108"/>
        <v>28800</v>
      </c>
      <c r="I73" s="41">
        <f t="shared" si="109"/>
        <v>0</v>
      </c>
      <c r="J73" s="41">
        <f t="shared" si="109"/>
        <v>6027.1492952992967</v>
      </c>
      <c r="K73" s="47">
        <f t="shared" si="109"/>
        <v>0</v>
      </c>
      <c r="L73" s="47">
        <f t="shared" si="109"/>
        <v>0</v>
      </c>
      <c r="M73" s="92">
        <f t="shared" si="33"/>
        <v>6027.1492952992967</v>
      </c>
      <c r="N73" s="91">
        <f>IF($B73=P$20,'Construction Costs_2022'!$K$43+'Construction Costs_2022'!$K$7,0)</f>
        <v>0</v>
      </c>
      <c r="O73" s="38">
        <f t="shared" si="34"/>
        <v>43200</v>
      </c>
      <c r="P73" s="38"/>
      <c r="Q73" s="45"/>
      <c r="R73" s="46">
        <f t="shared" si="110"/>
        <v>43200</v>
      </c>
      <c r="S73" s="41">
        <f t="shared" ref="S73:T104" si="119">N73*$C73</f>
        <v>0</v>
      </c>
      <c r="T73" s="41">
        <f t="shared" si="119"/>
        <v>9040.7239429489455</v>
      </c>
      <c r="U73" s="47">
        <f t="shared" si="104"/>
        <v>0</v>
      </c>
      <c r="V73" s="47">
        <f t="shared" si="106"/>
        <v>0</v>
      </c>
      <c r="W73" s="92">
        <f t="shared" si="36"/>
        <v>9040.7239429489455</v>
      </c>
      <c r="X73" s="82">
        <f>IF($B73=AP$20,'OBC Cost _Van Oord 2022'!$E$30,0)</f>
        <v>0</v>
      </c>
      <c r="Y73" s="38">
        <f t="shared" si="37"/>
        <v>0</v>
      </c>
      <c r="Z73" s="38"/>
      <c r="AA73" s="38"/>
      <c r="AB73" s="38"/>
      <c r="AC73" s="38"/>
      <c r="AD73" s="38"/>
      <c r="AE73" s="38"/>
      <c r="AF73" s="38"/>
      <c r="AG73" s="38"/>
      <c r="AH73" s="38"/>
      <c r="AI73" s="38"/>
      <c r="AJ73" s="38"/>
      <c r="AK73" s="38"/>
      <c r="AL73" s="38"/>
      <c r="AM73" s="38"/>
      <c r="AN73" s="38"/>
      <c r="AO73" s="38"/>
      <c r="AP73" s="38"/>
      <c r="AQ73" s="45">
        <f t="shared" si="102"/>
        <v>0</v>
      </c>
      <c r="AR73" s="45"/>
      <c r="AS73" s="46">
        <f t="shared" si="111"/>
        <v>0</v>
      </c>
      <c r="AT73" s="41">
        <f t="shared" si="112"/>
        <v>0</v>
      </c>
      <c r="AU73" s="41">
        <f t="shared" si="113"/>
        <v>0</v>
      </c>
      <c r="AV73" s="47"/>
      <c r="AW73" s="47"/>
      <c r="AX73" s="47"/>
      <c r="AY73" s="47"/>
      <c r="AZ73" s="47"/>
      <c r="BA73" s="47"/>
      <c r="BB73" s="47"/>
      <c r="BC73" s="47"/>
      <c r="BD73" s="47"/>
      <c r="BE73" s="47"/>
      <c r="BF73" s="47"/>
      <c r="BG73" s="47"/>
      <c r="BH73" s="47"/>
      <c r="BI73" s="47"/>
      <c r="BJ73" s="47"/>
      <c r="BK73" s="47"/>
      <c r="BL73" s="47"/>
      <c r="BM73" s="47">
        <f t="shared" si="96"/>
        <v>0</v>
      </c>
      <c r="BN73" s="92">
        <f t="shared" si="114"/>
        <v>0</v>
      </c>
      <c r="BO73" s="82">
        <f>IF($B73=BQ$20,'Construction Costs_2022'!$K$84+'Construction Costs_2022'!$K$7,0)</f>
        <v>0</v>
      </c>
      <c r="BP73" s="38">
        <f t="shared" si="115"/>
        <v>0</v>
      </c>
      <c r="BQ73" s="38"/>
      <c r="BR73" s="45"/>
      <c r="BS73" s="46">
        <f t="shared" si="97"/>
        <v>0</v>
      </c>
      <c r="BT73" s="41">
        <f t="shared" si="20"/>
        <v>0</v>
      </c>
      <c r="BU73" s="41">
        <f t="shared" si="20"/>
        <v>0</v>
      </c>
      <c r="BV73" s="47">
        <f t="shared" si="20"/>
        <v>0</v>
      </c>
      <c r="BW73" s="47">
        <f t="shared" si="20"/>
        <v>0</v>
      </c>
      <c r="BX73" s="92">
        <f t="shared" si="52"/>
        <v>0</v>
      </c>
      <c r="BY73" s="82">
        <f>IF($B73=CA$20,'Construction Costs_2022'!$K$104+'Construction Costs_2022'!$K$7,0)</f>
        <v>0</v>
      </c>
      <c r="BZ73" s="38">
        <f t="shared" si="116"/>
        <v>0</v>
      </c>
      <c r="CA73" s="38"/>
      <c r="CB73" s="45"/>
      <c r="CC73" s="46">
        <f t="shared" si="98"/>
        <v>0</v>
      </c>
      <c r="CD73" s="41">
        <f t="shared" si="23"/>
        <v>0</v>
      </c>
      <c r="CE73" s="41">
        <f t="shared" si="23"/>
        <v>0</v>
      </c>
      <c r="CF73" s="47">
        <f t="shared" si="23"/>
        <v>0</v>
      </c>
      <c r="CG73" s="47">
        <f t="shared" si="23"/>
        <v>0</v>
      </c>
      <c r="CH73" s="92">
        <f t="shared" si="53"/>
        <v>0</v>
      </c>
      <c r="CI73" s="82">
        <f>IF($B73=DA$20,'OBC Cost _Van Oord 2022'!$E$30,0)</f>
        <v>0</v>
      </c>
      <c r="CJ73" s="38">
        <f t="shared" si="54"/>
        <v>0</v>
      </c>
      <c r="CK73" s="38"/>
      <c r="CL73" s="38"/>
      <c r="CM73" s="38"/>
      <c r="CN73" s="38"/>
      <c r="CO73" s="38"/>
      <c r="CP73" s="38"/>
      <c r="CQ73" s="38"/>
      <c r="CR73" s="38"/>
      <c r="CS73" s="38"/>
      <c r="CT73" s="38"/>
      <c r="CU73" s="38"/>
      <c r="CV73" s="38"/>
      <c r="CW73" s="38"/>
      <c r="CX73" s="38"/>
      <c r="CY73" s="38"/>
      <c r="CZ73" s="38"/>
      <c r="DA73" s="38"/>
      <c r="DB73" s="45">
        <f t="shared" si="103"/>
        <v>0</v>
      </c>
      <c r="DC73" s="45"/>
      <c r="DD73" s="46">
        <f t="shared" si="117"/>
        <v>0</v>
      </c>
      <c r="DE73" s="41">
        <f t="shared" si="99"/>
        <v>0</v>
      </c>
      <c r="DF73" s="41">
        <f t="shared" si="27"/>
        <v>0</v>
      </c>
      <c r="DG73" s="47"/>
      <c r="DH73" s="47"/>
      <c r="DI73" s="47"/>
      <c r="DJ73" s="47"/>
      <c r="DK73" s="47"/>
      <c r="DL73" s="47"/>
      <c r="DM73" s="47"/>
      <c r="DN73" s="47"/>
      <c r="DO73" s="47"/>
      <c r="DP73" s="47"/>
      <c r="DQ73" s="47"/>
      <c r="DR73" s="47"/>
      <c r="DS73" s="47"/>
      <c r="DT73" s="47"/>
      <c r="DU73" s="47"/>
      <c r="DV73" s="47"/>
      <c r="DW73" s="47"/>
      <c r="DX73" s="47">
        <f t="shared" si="101"/>
        <v>0</v>
      </c>
      <c r="DY73" s="92">
        <f t="shared" si="118"/>
        <v>0</v>
      </c>
    </row>
    <row r="74" spans="2:129" s="3" customFormat="1" ht="12.75" x14ac:dyDescent="0.2">
      <c r="B74" s="12">
        <f t="shared" si="30"/>
        <v>49</v>
      </c>
      <c r="C74" s="13">
        <f t="shared" si="107"/>
        <v>0.20318059922125459</v>
      </c>
      <c r="D74" s="82">
        <f>IF($B74=F$20,'Construction Costs_2022'!$K$22+'Construction Costs_2022'!$K$7,0)</f>
        <v>0</v>
      </c>
      <c r="E74" s="38">
        <f t="shared" si="32"/>
        <v>28800</v>
      </c>
      <c r="F74" s="38"/>
      <c r="G74" s="45"/>
      <c r="H74" s="46">
        <f t="shared" si="108"/>
        <v>28800</v>
      </c>
      <c r="I74" s="41">
        <f t="shared" si="109"/>
        <v>0</v>
      </c>
      <c r="J74" s="41">
        <f t="shared" si="109"/>
        <v>5851.6012575721325</v>
      </c>
      <c r="K74" s="47">
        <f t="shared" si="109"/>
        <v>0</v>
      </c>
      <c r="L74" s="47">
        <f t="shared" si="109"/>
        <v>0</v>
      </c>
      <c r="M74" s="92">
        <f t="shared" si="33"/>
        <v>5851.6012575721325</v>
      </c>
      <c r="N74" s="91">
        <f>IF($B74=P$20,'Construction Costs_2022'!$K$43+'Construction Costs_2022'!$K$7,0)</f>
        <v>0</v>
      </c>
      <c r="O74" s="38">
        <f t="shared" si="34"/>
        <v>43200</v>
      </c>
      <c r="P74" s="38"/>
      <c r="Q74" s="45"/>
      <c r="R74" s="46">
        <f t="shared" si="110"/>
        <v>43200</v>
      </c>
      <c r="S74" s="41">
        <f t="shared" si="119"/>
        <v>0</v>
      </c>
      <c r="T74" s="41">
        <f t="shared" si="119"/>
        <v>8777.4018863581987</v>
      </c>
      <c r="U74" s="47">
        <f t="shared" si="104"/>
        <v>0</v>
      </c>
      <c r="V74" s="47">
        <f t="shared" si="106"/>
        <v>0</v>
      </c>
      <c r="W74" s="92">
        <f t="shared" si="36"/>
        <v>8777.4018863581987</v>
      </c>
      <c r="X74" s="82">
        <f>IF($B74=AP$20,'OBC Cost _Van Oord 2022'!$E$30,0)</f>
        <v>0</v>
      </c>
      <c r="Y74" s="38">
        <f t="shared" si="37"/>
        <v>0</v>
      </c>
      <c r="Z74" s="38"/>
      <c r="AA74" s="38"/>
      <c r="AB74" s="38"/>
      <c r="AC74" s="38"/>
      <c r="AD74" s="38"/>
      <c r="AE74" s="38"/>
      <c r="AF74" s="38"/>
      <c r="AG74" s="38"/>
      <c r="AH74" s="38"/>
      <c r="AI74" s="38"/>
      <c r="AJ74" s="38"/>
      <c r="AK74" s="38"/>
      <c r="AL74" s="38"/>
      <c r="AM74" s="38"/>
      <c r="AN74" s="38"/>
      <c r="AO74" s="38"/>
      <c r="AP74" s="38"/>
      <c r="AQ74" s="45">
        <f t="shared" si="102"/>
        <v>0</v>
      </c>
      <c r="AR74" s="45"/>
      <c r="AS74" s="46">
        <f t="shared" si="111"/>
        <v>0</v>
      </c>
      <c r="AT74" s="41">
        <f t="shared" si="112"/>
        <v>0</v>
      </c>
      <c r="AU74" s="41">
        <f t="shared" si="113"/>
        <v>0</v>
      </c>
      <c r="AV74" s="47"/>
      <c r="AW74" s="47"/>
      <c r="AX74" s="47"/>
      <c r="AY74" s="47"/>
      <c r="AZ74" s="47"/>
      <c r="BA74" s="47"/>
      <c r="BB74" s="47"/>
      <c r="BC74" s="47"/>
      <c r="BD74" s="47"/>
      <c r="BE74" s="47"/>
      <c r="BF74" s="47"/>
      <c r="BG74" s="47"/>
      <c r="BH74" s="47"/>
      <c r="BI74" s="47"/>
      <c r="BJ74" s="47"/>
      <c r="BK74" s="47"/>
      <c r="BL74" s="47"/>
      <c r="BM74" s="47">
        <f t="shared" si="96"/>
        <v>0</v>
      </c>
      <c r="BN74" s="92">
        <f t="shared" si="114"/>
        <v>0</v>
      </c>
      <c r="BO74" s="82">
        <f>IF($B74=BQ$20,'Construction Costs_2022'!$K$84+'Construction Costs_2022'!$K$7,0)</f>
        <v>0</v>
      </c>
      <c r="BP74" s="38">
        <f t="shared" si="115"/>
        <v>0</v>
      </c>
      <c r="BQ74" s="38"/>
      <c r="BR74" s="45"/>
      <c r="BS74" s="46">
        <f t="shared" si="97"/>
        <v>0</v>
      </c>
      <c r="BT74" s="41">
        <f t="shared" si="20"/>
        <v>0</v>
      </c>
      <c r="BU74" s="41">
        <f t="shared" si="20"/>
        <v>0</v>
      </c>
      <c r="BV74" s="47">
        <f t="shared" si="20"/>
        <v>0</v>
      </c>
      <c r="BW74" s="47">
        <f t="shared" si="20"/>
        <v>0</v>
      </c>
      <c r="BX74" s="92">
        <f t="shared" si="52"/>
        <v>0</v>
      </c>
      <c r="BY74" s="82">
        <f>IF($B74=CA$20,'Construction Costs_2022'!$K$104+'Construction Costs_2022'!$K$7,0)</f>
        <v>0</v>
      </c>
      <c r="BZ74" s="38">
        <f t="shared" si="116"/>
        <v>0</v>
      </c>
      <c r="CA74" s="38"/>
      <c r="CB74" s="45"/>
      <c r="CC74" s="46">
        <f t="shared" si="98"/>
        <v>0</v>
      </c>
      <c r="CD74" s="41">
        <f t="shared" si="23"/>
        <v>0</v>
      </c>
      <c r="CE74" s="41">
        <f t="shared" si="23"/>
        <v>0</v>
      </c>
      <c r="CF74" s="47">
        <f t="shared" si="23"/>
        <v>0</v>
      </c>
      <c r="CG74" s="47">
        <f t="shared" si="23"/>
        <v>0</v>
      </c>
      <c r="CH74" s="92">
        <f t="shared" si="53"/>
        <v>0</v>
      </c>
      <c r="CI74" s="82">
        <f>IF($B74=DA$20,'OBC Cost _Van Oord 2022'!$E$30,0)</f>
        <v>0</v>
      </c>
      <c r="CJ74" s="38">
        <f t="shared" si="54"/>
        <v>0</v>
      </c>
      <c r="CK74" s="38"/>
      <c r="CL74" s="38"/>
      <c r="CM74" s="38"/>
      <c r="CN74" s="38"/>
      <c r="CO74" s="38"/>
      <c r="CP74" s="38"/>
      <c r="CQ74" s="38"/>
      <c r="CR74" s="38"/>
      <c r="CS74" s="38"/>
      <c r="CT74" s="38"/>
      <c r="CU74" s="38"/>
      <c r="CV74" s="38"/>
      <c r="CW74" s="38"/>
      <c r="CX74" s="38"/>
      <c r="CY74" s="38"/>
      <c r="CZ74" s="38"/>
      <c r="DA74" s="38"/>
      <c r="DB74" s="45">
        <f t="shared" si="103"/>
        <v>0</v>
      </c>
      <c r="DC74" s="45"/>
      <c r="DD74" s="46">
        <f t="shared" si="117"/>
        <v>0</v>
      </c>
      <c r="DE74" s="41">
        <f t="shared" si="99"/>
        <v>0</v>
      </c>
      <c r="DF74" s="41">
        <f t="shared" si="27"/>
        <v>0</v>
      </c>
      <c r="DG74" s="47"/>
      <c r="DH74" s="47"/>
      <c r="DI74" s="47"/>
      <c r="DJ74" s="47"/>
      <c r="DK74" s="47"/>
      <c r="DL74" s="47"/>
      <c r="DM74" s="47"/>
      <c r="DN74" s="47"/>
      <c r="DO74" s="47"/>
      <c r="DP74" s="47"/>
      <c r="DQ74" s="47"/>
      <c r="DR74" s="47"/>
      <c r="DS74" s="47"/>
      <c r="DT74" s="47"/>
      <c r="DU74" s="47"/>
      <c r="DV74" s="47"/>
      <c r="DW74" s="47"/>
      <c r="DX74" s="47">
        <f t="shared" si="101"/>
        <v>0</v>
      </c>
      <c r="DY74" s="92">
        <f t="shared" si="118"/>
        <v>0</v>
      </c>
    </row>
    <row r="75" spans="2:129" s="3" customFormat="1" ht="12.75" x14ac:dyDescent="0.2">
      <c r="B75" s="12">
        <f t="shared" si="30"/>
        <v>50</v>
      </c>
      <c r="C75" s="13">
        <f t="shared" si="107"/>
        <v>0.19726271769053844</v>
      </c>
      <c r="D75" s="82">
        <f>IF($B75=F$20,'Construction Costs_2022'!$K$22+'Construction Costs_2022'!$K$7,0)</f>
        <v>0</v>
      </c>
      <c r="E75" s="38">
        <f t="shared" si="32"/>
        <v>28800</v>
      </c>
      <c r="F75" s="38"/>
      <c r="G75" s="45"/>
      <c r="H75" s="46">
        <f t="shared" si="108"/>
        <v>28800</v>
      </c>
      <c r="I75" s="41">
        <f t="shared" si="109"/>
        <v>0</v>
      </c>
      <c r="J75" s="41">
        <f t="shared" si="109"/>
        <v>5681.1662694875067</v>
      </c>
      <c r="K75" s="47">
        <f t="shared" si="109"/>
        <v>0</v>
      </c>
      <c r="L75" s="47">
        <f t="shared" si="109"/>
        <v>0</v>
      </c>
      <c r="M75" s="92">
        <f t="shared" si="33"/>
        <v>5681.1662694875067</v>
      </c>
      <c r="N75" s="91">
        <f>IF($B75=P$20,'Construction Costs_2022'!$K$43+'Construction Costs_2022'!$K$7,0)</f>
        <v>0</v>
      </c>
      <c r="O75" s="38">
        <f t="shared" si="34"/>
        <v>43200</v>
      </c>
      <c r="P75" s="38"/>
      <c r="Q75" s="45"/>
      <c r="R75" s="46">
        <f t="shared" si="110"/>
        <v>43200</v>
      </c>
      <c r="S75" s="41">
        <f t="shared" si="119"/>
        <v>0</v>
      </c>
      <c r="T75" s="41">
        <f t="shared" si="119"/>
        <v>8521.749404231261</v>
      </c>
      <c r="U75" s="47">
        <f t="shared" si="104"/>
        <v>0</v>
      </c>
      <c r="V75" s="47">
        <f t="shared" si="106"/>
        <v>0</v>
      </c>
      <c r="W75" s="92">
        <f t="shared" si="36"/>
        <v>8521.749404231261</v>
      </c>
      <c r="X75" s="82">
        <f>IF($B75=AP$20,'OBC Cost _Van Oord 2022'!$E$30,0)</f>
        <v>0</v>
      </c>
      <c r="Y75" s="38">
        <f t="shared" si="37"/>
        <v>0</v>
      </c>
      <c r="Z75" s="38"/>
      <c r="AA75" s="38"/>
      <c r="AB75" s="38"/>
      <c r="AC75" s="38"/>
      <c r="AD75" s="38"/>
      <c r="AE75" s="38"/>
      <c r="AF75" s="38"/>
      <c r="AG75" s="38"/>
      <c r="AH75" s="38"/>
      <c r="AI75" s="38"/>
      <c r="AJ75" s="38"/>
      <c r="AK75" s="38"/>
      <c r="AL75" s="38"/>
      <c r="AM75" s="38"/>
      <c r="AN75" s="38"/>
      <c r="AO75" s="38"/>
      <c r="AP75" s="38"/>
      <c r="AQ75" s="45">
        <f t="shared" si="102"/>
        <v>0</v>
      </c>
      <c r="AR75" s="45"/>
      <c r="AS75" s="46">
        <f t="shared" si="111"/>
        <v>0</v>
      </c>
      <c r="AT75" s="41">
        <f t="shared" si="112"/>
        <v>0</v>
      </c>
      <c r="AU75" s="41">
        <f t="shared" si="113"/>
        <v>0</v>
      </c>
      <c r="AV75" s="47"/>
      <c r="AW75" s="47"/>
      <c r="AX75" s="47"/>
      <c r="AY75" s="47"/>
      <c r="AZ75" s="47"/>
      <c r="BA75" s="47"/>
      <c r="BB75" s="47"/>
      <c r="BC75" s="47"/>
      <c r="BD75" s="47"/>
      <c r="BE75" s="47"/>
      <c r="BF75" s="47"/>
      <c r="BG75" s="47"/>
      <c r="BH75" s="47"/>
      <c r="BI75" s="47"/>
      <c r="BJ75" s="47"/>
      <c r="BK75" s="47"/>
      <c r="BL75" s="47"/>
      <c r="BM75" s="47">
        <f t="shared" si="96"/>
        <v>0</v>
      </c>
      <c r="BN75" s="92">
        <f t="shared" si="114"/>
        <v>0</v>
      </c>
      <c r="BO75" s="82">
        <f>IF($B75=BQ$20,'Construction Costs_2022'!$K$84+'Construction Costs_2022'!$K$7,0)</f>
        <v>0</v>
      </c>
      <c r="BP75" s="38">
        <f t="shared" si="115"/>
        <v>0</v>
      </c>
      <c r="BQ75" s="38"/>
      <c r="BR75" s="45"/>
      <c r="BS75" s="46">
        <f t="shared" si="97"/>
        <v>0</v>
      </c>
      <c r="BT75" s="41">
        <f t="shared" si="20"/>
        <v>0</v>
      </c>
      <c r="BU75" s="41">
        <f t="shared" si="20"/>
        <v>0</v>
      </c>
      <c r="BV75" s="47">
        <f t="shared" si="20"/>
        <v>0</v>
      </c>
      <c r="BW75" s="47">
        <f t="shared" si="20"/>
        <v>0</v>
      </c>
      <c r="BX75" s="92">
        <f t="shared" si="52"/>
        <v>0</v>
      </c>
      <c r="BY75" s="82">
        <f>IF($B75=CA$20,'Construction Costs_2022'!$K$104+'Construction Costs_2022'!$K$7,0)</f>
        <v>0</v>
      </c>
      <c r="BZ75" s="38">
        <f t="shared" si="116"/>
        <v>0</v>
      </c>
      <c r="CA75" s="38"/>
      <c r="CB75" s="45"/>
      <c r="CC75" s="46">
        <f t="shared" si="98"/>
        <v>0</v>
      </c>
      <c r="CD75" s="41">
        <f t="shared" si="23"/>
        <v>0</v>
      </c>
      <c r="CE75" s="41">
        <f t="shared" si="23"/>
        <v>0</v>
      </c>
      <c r="CF75" s="47">
        <f t="shared" si="23"/>
        <v>0</v>
      </c>
      <c r="CG75" s="47">
        <f t="shared" si="23"/>
        <v>0</v>
      </c>
      <c r="CH75" s="92">
        <f t="shared" si="53"/>
        <v>0</v>
      </c>
      <c r="CI75" s="82">
        <f>IF($B75=DA$20,'OBC Cost _Van Oord 2022'!$E$30,0)</f>
        <v>0</v>
      </c>
      <c r="CJ75" s="38">
        <f t="shared" si="54"/>
        <v>0</v>
      </c>
      <c r="CK75" s="38"/>
      <c r="CL75" s="38"/>
      <c r="CM75" s="38"/>
      <c r="CN75" s="38"/>
      <c r="CO75" s="38"/>
      <c r="CP75" s="38"/>
      <c r="CQ75" s="38"/>
      <c r="CR75" s="38"/>
      <c r="CS75" s="38"/>
      <c r="CT75" s="38"/>
      <c r="CU75" s="38"/>
      <c r="CV75" s="38"/>
      <c r="CW75" s="38"/>
      <c r="CX75" s="38"/>
      <c r="CY75" s="38"/>
      <c r="CZ75" s="38"/>
      <c r="DA75" s="38"/>
      <c r="DB75" s="45">
        <f t="shared" si="103"/>
        <v>0</v>
      </c>
      <c r="DC75" s="45"/>
      <c r="DD75" s="46">
        <f t="shared" si="117"/>
        <v>0</v>
      </c>
      <c r="DE75" s="41">
        <f t="shared" si="99"/>
        <v>0</v>
      </c>
      <c r="DF75" s="41">
        <f t="shared" si="27"/>
        <v>0</v>
      </c>
      <c r="DG75" s="47"/>
      <c r="DH75" s="47"/>
      <c r="DI75" s="47"/>
      <c r="DJ75" s="47"/>
      <c r="DK75" s="47"/>
      <c r="DL75" s="47"/>
      <c r="DM75" s="47"/>
      <c r="DN75" s="47"/>
      <c r="DO75" s="47"/>
      <c r="DP75" s="47"/>
      <c r="DQ75" s="47"/>
      <c r="DR75" s="47"/>
      <c r="DS75" s="47"/>
      <c r="DT75" s="47"/>
      <c r="DU75" s="47"/>
      <c r="DV75" s="47"/>
      <c r="DW75" s="47"/>
      <c r="DX75" s="47">
        <f t="shared" si="101"/>
        <v>0</v>
      </c>
      <c r="DY75" s="92">
        <f t="shared" si="118"/>
        <v>0</v>
      </c>
    </row>
    <row r="76" spans="2:129" s="3" customFormat="1" ht="12.75" x14ac:dyDescent="0.2">
      <c r="B76" s="12">
        <f t="shared" si="30"/>
        <v>51</v>
      </c>
      <c r="C76" s="13">
        <f t="shared" si="107"/>
        <v>0.19151720164129946</v>
      </c>
      <c r="D76" s="82">
        <f>IF($B76=F$20,'Construction Costs_2022'!$K$22+'Construction Costs_2022'!$K$7,0)</f>
        <v>0</v>
      </c>
      <c r="E76" s="38">
        <f t="shared" si="32"/>
        <v>28800</v>
      </c>
      <c r="F76" s="38"/>
      <c r="G76" s="45"/>
      <c r="H76" s="46">
        <f t="shared" si="108"/>
        <v>28800</v>
      </c>
      <c r="I76" s="41">
        <f t="shared" si="109"/>
        <v>0</v>
      </c>
      <c r="J76" s="41">
        <f t="shared" si="109"/>
        <v>5515.6954072694243</v>
      </c>
      <c r="K76" s="47">
        <f t="shared" si="109"/>
        <v>0</v>
      </c>
      <c r="L76" s="47">
        <f t="shared" si="109"/>
        <v>0</v>
      </c>
      <c r="M76" s="92">
        <f t="shared" si="33"/>
        <v>5515.6954072694243</v>
      </c>
      <c r="N76" s="91">
        <f>IF($B76=P$20,'Construction Costs_2022'!$K$43+'Construction Costs_2022'!$K$7,0)</f>
        <v>0</v>
      </c>
      <c r="O76" s="38">
        <f t="shared" si="34"/>
        <v>43200</v>
      </c>
      <c r="P76" s="38"/>
      <c r="Q76" s="45"/>
      <c r="R76" s="46">
        <f t="shared" si="110"/>
        <v>43200</v>
      </c>
      <c r="S76" s="41">
        <f t="shared" si="119"/>
        <v>0</v>
      </c>
      <c r="T76" s="41">
        <f t="shared" si="119"/>
        <v>8273.5431109041365</v>
      </c>
      <c r="U76" s="47">
        <f t="shared" si="104"/>
        <v>0</v>
      </c>
      <c r="V76" s="47">
        <f t="shared" si="106"/>
        <v>0</v>
      </c>
      <c r="W76" s="92">
        <f t="shared" si="36"/>
        <v>8273.5431109041365</v>
      </c>
      <c r="X76" s="82">
        <f>IF($B76=AP$20,'OBC Cost _Van Oord 2022'!$E$30,0)</f>
        <v>0</v>
      </c>
      <c r="Y76" s="38">
        <f t="shared" si="37"/>
        <v>0</v>
      </c>
      <c r="Z76" s="38"/>
      <c r="AA76" s="38"/>
      <c r="AB76" s="38"/>
      <c r="AC76" s="38"/>
      <c r="AD76" s="38"/>
      <c r="AE76" s="38"/>
      <c r="AF76" s="38"/>
      <c r="AG76" s="38"/>
      <c r="AH76" s="38"/>
      <c r="AI76" s="38"/>
      <c r="AJ76" s="38"/>
      <c r="AK76" s="38"/>
      <c r="AL76" s="38"/>
      <c r="AM76" s="38"/>
      <c r="AN76" s="38"/>
      <c r="AO76" s="38"/>
      <c r="AP76" s="38"/>
      <c r="AQ76" s="45">
        <f t="shared" si="102"/>
        <v>0</v>
      </c>
      <c r="AR76" s="45"/>
      <c r="AS76" s="46">
        <f t="shared" si="111"/>
        <v>0</v>
      </c>
      <c r="AT76" s="41">
        <f t="shared" si="112"/>
        <v>0</v>
      </c>
      <c r="AU76" s="41">
        <f t="shared" si="113"/>
        <v>0</v>
      </c>
      <c r="AV76" s="47"/>
      <c r="AW76" s="47"/>
      <c r="AX76" s="47"/>
      <c r="AY76" s="47"/>
      <c r="AZ76" s="47"/>
      <c r="BA76" s="47"/>
      <c r="BB76" s="47"/>
      <c r="BC76" s="47"/>
      <c r="BD76" s="47"/>
      <c r="BE76" s="47"/>
      <c r="BF76" s="47"/>
      <c r="BG76" s="47"/>
      <c r="BH76" s="47"/>
      <c r="BI76" s="47"/>
      <c r="BJ76" s="47"/>
      <c r="BK76" s="47"/>
      <c r="BL76" s="47"/>
      <c r="BM76" s="47">
        <f t="shared" si="96"/>
        <v>0</v>
      </c>
      <c r="BN76" s="92">
        <f t="shared" si="114"/>
        <v>0</v>
      </c>
      <c r="BO76" s="82">
        <f>IF($B76=BQ$20,'Construction Costs_2022'!$K$84+'Construction Costs_2022'!$K$7,0)</f>
        <v>0</v>
      </c>
      <c r="BP76" s="38">
        <f t="shared" si="115"/>
        <v>0</v>
      </c>
      <c r="BQ76" s="38"/>
      <c r="BR76" s="45"/>
      <c r="BS76" s="46">
        <f t="shared" si="97"/>
        <v>0</v>
      </c>
      <c r="BT76" s="41">
        <f t="shared" si="20"/>
        <v>0</v>
      </c>
      <c r="BU76" s="41">
        <f t="shared" si="20"/>
        <v>0</v>
      </c>
      <c r="BV76" s="47">
        <f t="shared" si="20"/>
        <v>0</v>
      </c>
      <c r="BW76" s="47">
        <f t="shared" si="20"/>
        <v>0</v>
      </c>
      <c r="BX76" s="92">
        <f t="shared" si="52"/>
        <v>0</v>
      </c>
      <c r="BY76" s="82">
        <f>IF($B76=CA$20,'Construction Costs_2022'!$K$104+'Construction Costs_2022'!$K$7,0)</f>
        <v>0</v>
      </c>
      <c r="BZ76" s="38">
        <f t="shared" si="116"/>
        <v>0</v>
      </c>
      <c r="CA76" s="38"/>
      <c r="CB76" s="45"/>
      <c r="CC76" s="46">
        <f t="shared" si="98"/>
        <v>0</v>
      </c>
      <c r="CD76" s="41">
        <f t="shared" si="23"/>
        <v>0</v>
      </c>
      <c r="CE76" s="41">
        <f t="shared" si="23"/>
        <v>0</v>
      </c>
      <c r="CF76" s="47">
        <f t="shared" si="23"/>
        <v>0</v>
      </c>
      <c r="CG76" s="47">
        <f t="shared" si="23"/>
        <v>0</v>
      </c>
      <c r="CH76" s="92">
        <f t="shared" si="53"/>
        <v>0</v>
      </c>
      <c r="CI76" s="82">
        <f>IF($B76=DA$20,'OBC Cost _Van Oord 2022'!$E$30,0)</f>
        <v>0</v>
      </c>
      <c r="CJ76" s="38">
        <f t="shared" si="54"/>
        <v>0</v>
      </c>
      <c r="CK76" s="38"/>
      <c r="CL76" s="38"/>
      <c r="CM76" s="38"/>
      <c r="CN76" s="38"/>
      <c r="CO76" s="38"/>
      <c r="CP76" s="38"/>
      <c r="CQ76" s="38"/>
      <c r="CR76" s="38"/>
      <c r="CS76" s="38"/>
      <c r="CT76" s="38"/>
      <c r="CU76" s="38"/>
      <c r="CV76" s="38"/>
      <c r="CW76" s="38"/>
      <c r="CX76" s="38"/>
      <c r="CY76" s="38"/>
      <c r="CZ76" s="38"/>
      <c r="DA76" s="38"/>
      <c r="DB76" s="45">
        <f t="shared" si="103"/>
        <v>0</v>
      </c>
      <c r="DC76" s="45"/>
      <c r="DD76" s="46">
        <f t="shared" si="117"/>
        <v>0</v>
      </c>
      <c r="DE76" s="41">
        <f t="shared" si="99"/>
        <v>0</v>
      </c>
      <c r="DF76" s="41">
        <f t="shared" si="27"/>
        <v>0</v>
      </c>
      <c r="DG76" s="47"/>
      <c r="DH76" s="47"/>
      <c r="DI76" s="47"/>
      <c r="DJ76" s="47"/>
      <c r="DK76" s="47"/>
      <c r="DL76" s="47"/>
      <c r="DM76" s="47"/>
      <c r="DN76" s="47"/>
      <c r="DO76" s="47"/>
      <c r="DP76" s="47"/>
      <c r="DQ76" s="47"/>
      <c r="DR76" s="47"/>
      <c r="DS76" s="47"/>
      <c r="DT76" s="47"/>
      <c r="DU76" s="47"/>
      <c r="DV76" s="47"/>
      <c r="DW76" s="47"/>
      <c r="DX76" s="47">
        <f t="shared" si="101"/>
        <v>0</v>
      </c>
      <c r="DY76" s="92">
        <f t="shared" si="118"/>
        <v>0</v>
      </c>
    </row>
    <row r="77" spans="2:129" s="3" customFormat="1" ht="12.75" x14ac:dyDescent="0.2">
      <c r="B77" s="12">
        <f t="shared" si="30"/>
        <v>52</v>
      </c>
      <c r="C77" s="13">
        <f t="shared" si="107"/>
        <v>0.18593903071970821</v>
      </c>
      <c r="D77" s="82">
        <f>IF($B77=F$20,'Construction Costs_2022'!$K$22+'Construction Costs_2022'!$K$7,0)</f>
        <v>0</v>
      </c>
      <c r="E77" s="38">
        <f t="shared" si="32"/>
        <v>1328900</v>
      </c>
      <c r="F77" s="38"/>
      <c r="G77" s="45"/>
      <c r="H77" s="46">
        <f t="shared" si="108"/>
        <v>1328900</v>
      </c>
      <c r="I77" s="41">
        <f t="shared" si="109"/>
        <v>0</v>
      </c>
      <c r="J77" s="41">
        <f>E77*$C77</f>
        <v>247094.37792342025</v>
      </c>
      <c r="K77" s="47">
        <f t="shared" si="109"/>
        <v>0</v>
      </c>
      <c r="L77" s="47">
        <f t="shared" si="109"/>
        <v>0</v>
      </c>
      <c r="M77" s="92">
        <f t="shared" si="33"/>
        <v>247094.37792342025</v>
      </c>
      <c r="N77" s="91">
        <f>IF($B77=P$20,'Construction Costs_2022'!$K$43+'Construction Costs_2022'!$K$7,0)</f>
        <v>0</v>
      </c>
      <c r="O77" s="38">
        <f t="shared" si="34"/>
        <v>1234840</v>
      </c>
      <c r="P77" s="38"/>
      <c r="Q77" s="45"/>
      <c r="R77" s="46">
        <f t="shared" si="110"/>
        <v>1234840</v>
      </c>
      <c r="S77" s="41">
        <f t="shared" si="119"/>
        <v>0</v>
      </c>
      <c r="T77" s="41">
        <f t="shared" si="119"/>
        <v>229604.95269392448</v>
      </c>
      <c r="U77" s="47">
        <f t="shared" si="104"/>
        <v>0</v>
      </c>
      <c r="V77" s="47">
        <f t="shared" si="106"/>
        <v>0</v>
      </c>
      <c r="W77" s="92">
        <f t="shared" si="36"/>
        <v>229604.95269392448</v>
      </c>
      <c r="X77" s="82">
        <f>IF($B77=AP$20,'OBC Cost _Van Oord 2022'!$E$30,0)</f>
        <v>0</v>
      </c>
      <c r="Y77" s="38">
        <f t="shared" si="37"/>
        <v>946280</v>
      </c>
      <c r="Z77" s="38"/>
      <c r="AA77" s="38"/>
      <c r="AB77" s="38"/>
      <c r="AC77" s="38"/>
      <c r="AD77" s="38"/>
      <c r="AE77" s="38"/>
      <c r="AF77" s="38"/>
      <c r="AG77" s="38"/>
      <c r="AH77" s="38"/>
      <c r="AI77" s="38"/>
      <c r="AJ77" s="38"/>
      <c r="AK77" s="38"/>
      <c r="AL77" s="38"/>
      <c r="AM77" s="38"/>
      <c r="AN77" s="38"/>
      <c r="AO77" s="38"/>
      <c r="AP77" s="38"/>
      <c r="AQ77" s="45">
        <f t="shared" si="102"/>
        <v>246032.80000000002</v>
      </c>
      <c r="AR77" s="45"/>
      <c r="AS77" s="46">
        <f t="shared" si="111"/>
        <v>1192312.8</v>
      </c>
      <c r="AT77" s="41">
        <f t="shared" si="112"/>
        <v>0</v>
      </c>
      <c r="AU77" s="41">
        <f t="shared" si="113"/>
        <v>175950.38598944549</v>
      </c>
      <c r="AV77" s="47"/>
      <c r="AW77" s="47"/>
      <c r="AX77" s="47"/>
      <c r="AY77" s="47"/>
      <c r="AZ77" s="47"/>
      <c r="BA77" s="47"/>
      <c r="BB77" s="47"/>
      <c r="BC77" s="47"/>
      <c r="BD77" s="47"/>
      <c r="BE77" s="47"/>
      <c r="BF77" s="47"/>
      <c r="BG77" s="47"/>
      <c r="BH77" s="47"/>
      <c r="BI77" s="47"/>
      <c r="BJ77" s="47"/>
      <c r="BK77" s="47"/>
      <c r="BL77" s="47"/>
      <c r="BM77" s="47">
        <f t="shared" si="96"/>
        <v>45747.100357255833</v>
      </c>
      <c r="BN77" s="92">
        <f t="shared" si="114"/>
        <v>221697.48634670133</v>
      </c>
      <c r="BO77" s="82">
        <f>IF($B77=BQ$20,'Construction Costs_2022'!$K$84+'Construction Costs_2022'!$K$7,0)</f>
        <v>0</v>
      </c>
      <c r="BP77" s="38">
        <f t="shared" si="115"/>
        <v>875260</v>
      </c>
      <c r="BQ77" s="38"/>
      <c r="BR77" s="45"/>
      <c r="BS77" s="46">
        <f t="shared" si="97"/>
        <v>875260</v>
      </c>
      <c r="BT77" s="41">
        <f t="shared" si="20"/>
        <v>0</v>
      </c>
      <c r="BU77" s="41">
        <f t="shared" si="20"/>
        <v>162744.9960277318</v>
      </c>
      <c r="BV77" s="47">
        <f t="shared" si="20"/>
        <v>0</v>
      </c>
      <c r="BW77" s="47">
        <f t="shared" si="20"/>
        <v>0</v>
      </c>
      <c r="BX77" s="92">
        <f t="shared" si="52"/>
        <v>162744.9960277318</v>
      </c>
      <c r="BY77" s="82">
        <f>IF($B77=CA$20,'Construction Costs_2022'!$K$104+'Construction Costs_2022'!$K$7,0)</f>
        <v>0</v>
      </c>
      <c r="BZ77" s="38">
        <f t="shared" si="116"/>
        <v>1004320</v>
      </c>
      <c r="CA77" s="38"/>
      <c r="CB77" s="45"/>
      <c r="CC77" s="46">
        <f t="shared" si="98"/>
        <v>1004320</v>
      </c>
      <c r="CD77" s="41">
        <f t="shared" si="23"/>
        <v>0</v>
      </c>
      <c r="CE77" s="41">
        <f t="shared" si="23"/>
        <v>186742.28733241736</v>
      </c>
      <c r="CF77" s="47">
        <f t="shared" si="23"/>
        <v>0</v>
      </c>
      <c r="CG77" s="47">
        <f t="shared" si="23"/>
        <v>0</v>
      </c>
      <c r="CH77" s="92">
        <f t="shared" si="53"/>
        <v>186742.28733241736</v>
      </c>
      <c r="CI77" s="82">
        <f>IF($B77=DA$20,'OBC Cost _Van Oord 2022'!$E$30,0)</f>
        <v>0</v>
      </c>
      <c r="CJ77" s="38">
        <f t="shared" si="54"/>
        <v>228530</v>
      </c>
      <c r="CK77" s="38"/>
      <c r="CL77" s="38"/>
      <c r="CM77" s="38"/>
      <c r="CN77" s="38"/>
      <c r="CO77" s="38"/>
      <c r="CP77" s="38"/>
      <c r="CQ77" s="38"/>
      <c r="CR77" s="38"/>
      <c r="CS77" s="38"/>
      <c r="CT77" s="38"/>
      <c r="CU77" s="38"/>
      <c r="CV77" s="38"/>
      <c r="CW77" s="38"/>
      <c r="CX77" s="38"/>
      <c r="CY77" s="38"/>
      <c r="CZ77" s="38"/>
      <c r="DA77" s="38"/>
      <c r="DB77" s="45">
        <f t="shared" si="103"/>
        <v>68559</v>
      </c>
      <c r="DC77" s="45"/>
      <c r="DD77" s="46">
        <f t="shared" si="117"/>
        <v>297089</v>
      </c>
      <c r="DE77" s="41">
        <f t="shared" si="99"/>
        <v>0</v>
      </c>
      <c r="DF77" s="41">
        <f t="shared" si="27"/>
        <v>42492.646690374917</v>
      </c>
      <c r="DG77" s="47"/>
      <c r="DH77" s="47"/>
      <c r="DI77" s="47"/>
      <c r="DJ77" s="47"/>
      <c r="DK77" s="47"/>
      <c r="DL77" s="47"/>
      <c r="DM77" s="47"/>
      <c r="DN77" s="47"/>
      <c r="DO77" s="47"/>
      <c r="DP77" s="47"/>
      <c r="DQ77" s="47"/>
      <c r="DR77" s="47"/>
      <c r="DS77" s="47"/>
      <c r="DT77" s="47"/>
      <c r="DU77" s="47"/>
      <c r="DV77" s="47"/>
      <c r="DW77" s="47"/>
      <c r="DX77" s="47">
        <f t="shared" si="101"/>
        <v>12747.794007112476</v>
      </c>
      <c r="DY77" s="92">
        <f t="shared" si="118"/>
        <v>55240.440697487393</v>
      </c>
    </row>
    <row r="78" spans="2:129" s="3" customFormat="1" ht="12.75" x14ac:dyDescent="0.2">
      <c r="B78" s="12">
        <f t="shared" si="30"/>
        <v>53</v>
      </c>
      <c r="C78" s="13">
        <f t="shared" si="107"/>
        <v>0.18052333079583321</v>
      </c>
      <c r="D78" s="82">
        <f>IF($B78=F$20,'Construction Costs_2022'!$K$22+'Construction Costs_2022'!$K$7,0)</f>
        <v>0</v>
      </c>
      <c r="E78" s="38">
        <f t="shared" si="32"/>
        <v>28800</v>
      </c>
      <c r="F78" s="38"/>
      <c r="G78" s="45"/>
      <c r="H78" s="46">
        <f t="shared" si="108"/>
        <v>28800</v>
      </c>
      <c r="I78" s="41">
        <f t="shared" si="109"/>
        <v>0</v>
      </c>
      <c r="J78" s="41">
        <f t="shared" si="109"/>
        <v>5199.0719269199963</v>
      </c>
      <c r="K78" s="47">
        <f t="shared" si="109"/>
        <v>0</v>
      </c>
      <c r="L78" s="47">
        <f t="shared" si="109"/>
        <v>0</v>
      </c>
      <c r="M78" s="92">
        <f t="shared" si="33"/>
        <v>5199.0719269199963</v>
      </c>
      <c r="N78" s="91">
        <f>IF($B78=P$20,'Construction Costs_2022'!$K$43+'Construction Costs_2022'!$K$7,0)</f>
        <v>0</v>
      </c>
      <c r="O78" s="38">
        <f t="shared" si="34"/>
        <v>43200</v>
      </c>
      <c r="P78" s="38"/>
      <c r="Q78" s="45"/>
      <c r="R78" s="46">
        <f t="shared" si="110"/>
        <v>43200</v>
      </c>
      <c r="S78" s="41">
        <f t="shared" si="119"/>
        <v>0</v>
      </c>
      <c r="T78" s="41">
        <f t="shared" si="119"/>
        <v>7798.6078903799953</v>
      </c>
      <c r="U78" s="47">
        <f t="shared" si="104"/>
        <v>0</v>
      </c>
      <c r="V78" s="47">
        <f t="shared" si="106"/>
        <v>0</v>
      </c>
      <c r="W78" s="92">
        <f t="shared" si="36"/>
        <v>7798.6078903799953</v>
      </c>
      <c r="X78" s="82">
        <f>IF($B78=AP$20,'OBC Cost _Van Oord 2022'!$E$30,0)</f>
        <v>0</v>
      </c>
      <c r="Y78" s="38">
        <f t="shared" si="37"/>
        <v>0</v>
      </c>
      <c r="Z78" s="38"/>
      <c r="AA78" s="38"/>
      <c r="AB78" s="38"/>
      <c r="AC78" s="38"/>
      <c r="AD78" s="38"/>
      <c r="AE78" s="38"/>
      <c r="AF78" s="38"/>
      <c r="AG78" s="38"/>
      <c r="AH78" s="38"/>
      <c r="AI78" s="38"/>
      <c r="AJ78" s="38"/>
      <c r="AK78" s="38"/>
      <c r="AL78" s="38"/>
      <c r="AM78" s="38"/>
      <c r="AN78" s="38"/>
      <c r="AO78" s="38"/>
      <c r="AP78" s="38"/>
      <c r="AQ78" s="45">
        <f t="shared" si="102"/>
        <v>0</v>
      </c>
      <c r="AR78" s="45"/>
      <c r="AS78" s="46">
        <f t="shared" si="111"/>
        <v>0</v>
      </c>
      <c r="AT78" s="41">
        <f t="shared" si="112"/>
        <v>0</v>
      </c>
      <c r="AU78" s="41">
        <f t="shared" si="113"/>
        <v>0</v>
      </c>
      <c r="AV78" s="47"/>
      <c r="AW78" s="47"/>
      <c r="AX78" s="47"/>
      <c r="AY78" s="47"/>
      <c r="AZ78" s="47"/>
      <c r="BA78" s="47"/>
      <c r="BB78" s="47"/>
      <c r="BC78" s="47"/>
      <c r="BD78" s="47"/>
      <c r="BE78" s="47"/>
      <c r="BF78" s="47"/>
      <c r="BG78" s="47"/>
      <c r="BH78" s="47"/>
      <c r="BI78" s="47"/>
      <c r="BJ78" s="47"/>
      <c r="BK78" s="47"/>
      <c r="BL78" s="47"/>
      <c r="BM78" s="47">
        <f t="shared" si="96"/>
        <v>0</v>
      </c>
      <c r="BN78" s="92">
        <f t="shared" si="114"/>
        <v>0</v>
      </c>
      <c r="BO78" s="82">
        <f>IF($B78=BQ$20,'Construction Costs_2022'!$K$84+'Construction Costs_2022'!$K$7,0)</f>
        <v>0</v>
      </c>
      <c r="BP78" s="38">
        <f t="shared" si="115"/>
        <v>0</v>
      </c>
      <c r="BQ78" s="38"/>
      <c r="BR78" s="45"/>
      <c r="BS78" s="46">
        <f t="shared" si="97"/>
        <v>0</v>
      </c>
      <c r="BT78" s="41">
        <f t="shared" si="20"/>
        <v>0</v>
      </c>
      <c r="BU78" s="41">
        <f t="shared" si="20"/>
        <v>0</v>
      </c>
      <c r="BV78" s="47">
        <f t="shared" si="20"/>
        <v>0</v>
      </c>
      <c r="BW78" s="47">
        <f t="shared" si="20"/>
        <v>0</v>
      </c>
      <c r="BX78" s="92">
        <f t="shared" si="52"/>
        <v>0</v>
      </c>
      <c r="BY78" s="82">
        <f>IF($B78=CA$20,'Construction Costs_2022'!$K$104+'Construction Costs_2022'!$K$7,0)</f>
        <v>0</v>
      </c>
      <c r="BZ78" s="38">
        <f t="shared" si="116"/>
        <v>0</v>
      </c>
      <c r="CA78" s="38"/>
      <c r="CB78" s="45"/>
      <c r="CC78" s="46">
        <f t="shared" si="98"/>
        <v>0</v>
      </c>
      <c r="CD78" s="41">
        <f t="shared" si="23"/>
        <v>0</v>
      </c>
      <c r="CE78" s="41">
        <f t="shared" si="23"/>
        <v>0</v>
      </c>
      <c r="CF78" s="47">
        <f t="shared" si="23"/>
        <v>0</v>
      </c>
      <c r="CG78" s="47">
        <f t="shared" si="23"/>
        <v>0</v>
      </c>
      <c r="CH78" s="92">
        <f t="shared" si="53"/>
        <v>0</v>
      </c>
      <c r="CI78" s="82">
        <f>IF($B78=DA$20,'OBC Cost _Van Oord 2022'!$E$30,0)</f>
        <v>0</v>
      </c>
      <c r="CJ78" s="38">
        <f t="shared" si="54"/>
        <v>0</v>
      </c>
      <c r="CK78" s="38"/>
      <c r="CL78" s="38"/>
      <c r="CM78" s="38"/>
      <c r="CN78" s="38"/>
      <c r="CO78" s="38"/>
      <c r="CP78" s="38"/>
      <c r="CQ78" s="38"/>
      <c r="CR78" s="38"/>
      <c r="CS78" s="38"/>
      <c r="CT78" s="38"/>
      <c r="CU78" s="38"/>
      <c r="CV78" s="38"/>
      <c r="CW78" s="38"/>
      <c r="CX78" s="38"/>
      <c r="CY78" s="38"/>
      <c r="CZ78" s="38"/>
      <c r="DA78" s="38"/>
      <c r="DB78" s="45">
        <f t="shared" si="103"/>
        <v>0</v>
      </c>
      <c r="DC78" s="45"/>
      <c r="DD78" s="46">
        <f t="shared" si="117"/>
        <v>0</v>
      </c>
      <c r="DE78" s="41">
        <f t="shared" si="99"/>
        <v>0</v>
      </c>
      <c r="DF78" s="41">
        <f t="shared" si="27"/>
        <v>0</v>
      </c>
      <c r="DG78" s="47"/>
      <c r="DH78" s="47"/>
      <c r="DI78" s="47"/>
      <c r="DJ78" s="47"/>
      <c r="DK78" s="47"/>
      <c r="DL78" s="47"/>
      <c r="DM78" s="47"/>
      <c r="DN78" s="47"/>
      <c r="DO78" s="47"/>
      <c r="DP78" s="47"/>
      <c r="DQ78" s="47"/>
      <c r="DR78" s="47"/>
      <c r="DS78" s="47"/>
      <c r="DT78" s="47"/>
      <c r="DU78" s="47"/>
      <c r="DV78" s="47"/>
      <c r="DW78" s="47"/>
      <c r="DX78" s="47">
        <f t="shared" si="101"/>
        <v>0</v>
      </c>
      <c r="DY78" s="92">
        <f t="shared" si="118"/>
        <v>0</v>
      </c>
    </row>
    <row r="79" spans="2:129" s="3" customFormat="1" ht="12.75" x14ac:dyDescent="0.2">
      <c r="B79" s="12">
        <f t="shared" si="30"/>
        <v>54</v>
      </c>
      <c r="C79" s="13">
        <f t="shared" si="107"/>
        <v>0.17526536970469245</v>
      </c>
      <c r="D79" s="82">
        <f>IF($B79=F$20,'Construction Costs_2022'!$K$22+'Construction Costs_2022'!$K$7,0)</f>
        <v>0</v>
      </c>
      <c r="E79" s="38">
        <f t="shared" si="32"/>
        <v>28800</v>
      </c>
      <c r="F79" s="38"/>
      <c r="G79" s="45"/>
      <c r="H79" s="46">
        <f t="shared" si="108"/>
        <v>28800</v>
      </c>
      <c r="I79" s="41">
        <f t="shared" si="109"/>
        <v>0</v>
      </c>
      <c r="J79" s="41">
        <f t="shared" si="109"/>
        <v>5047.6426474951422</v>
      </c>
      <c r="K79" s="47">
        <f t="shared" si="109"/>
        <v>0</v>
      </c>
      <c r="L79" s="47">
        <f t="shared" si="109"/>
        <v>0</v>
      </c>
      <c r="M79" s="92">
        <f t="shared" si="33"/>
        <v>5047.6426474951422</v>
      </c>
      <c r="N79" s="91">
        <f>IF($B79=P$20,'Construction Costs_2022'!$K$43+'Construction Costs_2022'!$K$7,0)</f>
        <v>0</v>
      </c>
      <c r="O79" s="38">
        <f t="shared" si="34"/>
        <v>43200</v>
      </c>
      <c r="P79" s="38"/>
      <c r="Q79" s="45"/>
      <c r="R79" s="46">
        <f t="shared" si="110"/>
        <v>43200</v>
      </c>
      <c r="S79" s="41">
        <f t="shared" si="119"/>
        <v>0</v>
      </c>
      <c r="T79" s="41">
        <f t="shared" si="119"/>
        <v>7571.4639712427133</v>
      </c>
      <c r="U79" s="47">
        <f t="shared" si="104"/>
        <v>0</v>
      </c>
      <c r="V79" s="47">
        <f t="shared" si="106"/>
        <v>0</v>
      </c>
      <c r="W79" s="92">
        <f t="shared" si="36"/>
        <v>7571.4639712427133</v>
      </c>
      <c r="X79" s="82">
        <f>IF($B79=AP$20,'OBC Cost _Van Oord 2022'!$E$30,0)</f>
        <v>0</v>
      </c>
      <c r="Y79" s="38">
        <f t="shared" si="37"/>
        <v>0</v>
      </c>
      <c r="Z79" s="38"/>
      <c r="AA79" s="38"/>
      <c r="AB79" s="38"/>
      <c r="AC79" s="38"/>
      <c r="AD79" s="38"/>
      <c r="AE79" s="38"/>
      <c r="AF79" s="38"/>
      <c r="AG79" s="38"/>
      <c r="AH79" s="38"/>
      <c r="AI79" s="38"/>
      <c r="AJ79" s="38"/>
      <c r="AK79" s="38"/>
      <c r="AL79" s="38"/>
      <c r="AM79" s="38"/>
      <c r="AN79" s="38"/>
      <c r="AO79" s="38"/>
      <c r="AP79" s="38"/>
      <c r="AQ79" s="45">
        <f t="shared" si="102"/>
        <v>0</v>
      </c>
      <c r="AR79" s="45"/>
      <c r="AS79" s="46">
        <f t="shared" si="111"/>
        <v>0</v>
      </c>
      <c r="AT79" s="41">
        <f t="shared" si="112"/>
        <v>0</v>
      </c>
      <c r="AU79" s="41">
        <f t="shared" si="113"/>
        <v>0</v>
      </c>
      <c r="AV79" s="47"/>
      <c r="AW79" s="47"/>
      <c r="AX79" s="47"/>
      <c r="AY79" s="47"/>
      <c r="AZ79" s="47"/>
      <c r="BA79" s="47"/>
      <c r="BB79" s="47"/>
      <c r="BC79" s="47"/>
      <c r="BD79" s="47"/>
      <c r="BE79" s="47"/>
      <c r="BF79" s="47"/>
      <c r="BG79" s="47"/>
      <c r="BH79" s="47"/>
      <c r="BI79" s="47"/>
      <c r="BJ79" s="47"/>
      <c r="BK79" s="47"/>
      <c r="BL79" s="47"/>
      <c r="BM79" s="47">
        <f t="shared" si="96"/>
        <v>0</v>
      </c>
      <c r="BN79" s="92">
        <f t="shared" si="114"/>
        <v>0</v>
      </c>
      <c r="BO79" s="82">
        <f>IF($B79=BQ$20,'Construction Costs_2022'!$K$84+'Construction Costs_2022'!$K$7,0)</f>
        <v>0</v>
      </c>
      <c r="BP79" s="38">
        <f t="shared" si="115"/>
        <v>0</v>
      </c>
      <c r="BQ79" s="38"/>
      <c r="BR79" s="45"/>
      <c r="BS79" s="46">
        <f t="shared" si="97"/>
        <v>0</v>
      </c>
      <c r="BT79" s="41">
        <f t="shared" si="20"/>
        <v>0</v>
      </c>
      <c r="BU79" s="41">
        <f t="shared" si="20"/>
        <v>0</v>
      </c>
      <c r="BV79" s="47">
        <f t="shared" si="20"/>
        <v>0</v>
      </c>
      <c r="BW79" s="47">
        <f t="shared" si="20"/>
        <v>0</v>
      </c>
      <c r="BX79" s="92">
        <f t="shared" si="52"/>
        <v>0</v>
      </c>
      <c r="BY79" s="82">
        <f>IF($B79=CA$20,'Construction Costs_2022'!$K$104+'Construction Costs_2022'!$K$7,0)</f>
        <v>0</v>
      </c>
      <c r="BZ79" s="38">
        <f t="shared" si="116"/>
        <v>0</v>
      </c>
      <c r="CA79" s="38"/>
      <c r="CB79" s="45"/>
      <c r="CC79" s="46">
        <f t="shared" si="98"/>
        <v>0</v>
      </c>
      <c r="CD79" s="41">
        <f t="shared" si="23"/>
        <v>0</v>
      </c>
      <c r="CE79" s="41">
        <f t="shared" si="23"/>
        <v>0</v>
      </c>
      <c r="CF79" s="47">
        <f t="shared" si="23"/>
        <v>0</v>
      </c>
      <c r="CG79" s="47">
        <f t="shared" si="23"/>
        <v>0</v>
      </c>
      <c r="CH79" s="92">
        <f t="shared" si="53"/>
        <v>0</v>
      </c>
      <c r="CI79" s="82">
        <f>IF($B79=DA$20,'OBC Cost _Van Oord 2022'!$E$30,0)</f>
        <v>0</v>
      </c>
      <c r="CJ79" s="38">
        <f t="shared" si="54"/>
        <v>0</v>
      </c>
      <c r="CK79" s="38"/>
      <c r="CL79" s="38"/>
      <c r="CM79" s="38"/>
      <c r="CN79" s="38"/>
      <c r="CO79" s="38"/>
      <c r="CP79" s="38"/>
      <c r="CQ79" s="38"/>
      <c r="CR79" s="38"/>
      <c r="CS79" s="38"/>
      <c r="CT79" s="38"/>
      <c r="CU79" s="38"/>
      <c r="CV79" s="38"/>
      <c r="CW79" s="38"/>
      <c r="CX79" s="38"/>
      <c r="CY79" s="38"/>
      <c r="CZ79" s="38"/>
      <c r="DA79" s="38"/>
      <c r="DB79" s="45">
        <f t="shared" si="103"/>
        <v>0</v>
      </c>
      <c r="DC79" s="45"/>
      <c r="DD79" s="46">
        <f t="shared" si="117"/>
        <v>0</v>
      </c>
      <c r="DE79" s="41">
        <f t="shared" si="99"/>
        <v>0</v>
      </c>
      <c r="DF79" s="41">
        <f t="shared" si="27"/>
        <v>0</v>
      </c>
      <c r="DG79" s="47"/>
      <c r="DH79" s="47"/>
      <c r="DI79" s="47"/>
      <c r="DJ79" s="47"/>
      <c r="DK79" s="47"/>
      <c r="DL79" s="47"/>
      <c r="DM79" s="47"/>
      <c r="DN79" s="47"/>
      <c r="DO79" s="47"/>
      <c r="DP79" s="47"/>
      <c r="DQ79" s="47"/>
      <c r="DR79" s="47"/>
      <c r="DS79" s="47"/>
      <c r="DT79" s="47"/>
      <c r="DU79" s="47"/>
      <c r="DV79" s="47"/>
      <c r="DW79" s="47"/>
      <c r="DX79" s="47">
        <f t="shared" si="101"/>
        <v>0</v>
      </c>
      <c r="DY79" s="92">
        <f t="shared" si="118"/>
        <v>0</v>
      </c>
    </row>
    <row r="80" spans="2:129" s="3" customFormat="1" ht="12.75" x14ac:dyDescent="0.2">
      <c r="B80" s="12">
        <f t="shared" si="30"/>
        <v>55</v>
      </c>
      <c r="C80" s="13">
        <f t="shared" si="107"/>
        <v>0.17016055311135189</v>
      </c>
      <c r="D80" s="82">
        <f>IF($B80=F$20,'Construction Costs_2022'!$K$22+'Construction Costs_2022'!$K$7,0)</f>
        <v>0</v>
      </c>
      <c r="E80" s="38">
        <f t="shared" si="32"/>
        <v>28800</v>
      </c>
      <c r="F80" s="38"/>
      <c r="G80" s="45"/>
      <c r="H80" s="46">
        <f t="shared" si="108"/>
        <v>28800</v>
      </c>
      <c r="I80" s="41">
        <f t="shared" si="109"/>
        <v>0</v>
      </c>
      <c r="J80" s="41">
        <f t="shared" si="109"/>
        <v>4900.6239296069343</v>
      </c>
      <c r="K80" s="47">
        <f t="shared" si="109"/>
        <v>0</v>
      </c>
      <c r="L80" s="47">
        <f t="shared" si="109"/>
        <v>0</v>
      </c>
      <c r="M80" s="92">
        <f t="shared" si="33"/>
        <v>4900.6239296069343</v>
      </c>
      <c r="N80" s="91">
        <f>IF($B80=P$20,'Construction Costs_2022'!$K$43+'Construction Costs_2022'!$K$7,0)</f>
        <v>0</v>
      </c>
      <c r="O80" s="38">
        <f t="shared" si="34"/>
        <v>43200</v>
      </c>
      <c r="P80" s="38"/>
      <c r="Q80" s="45"/>
      <c r="R80" s="46">
        <f t="shared" si="110"/>
        <v>43200</v>
      </c>
      <c r="S80" s="41">
        <f t="shared" si="119"/>
        <v>0</v>
      </c>
      <c r="T80" s="41">
        <f t="shared" si="119"/>
        <v>7350.9358944104015</v>
      </c>
      <c r="U80" s="47">
        <f t="shared" si="104"/>
        <v>0</v>
      </c>
      <c r="V80" s="47">
        <f t="shared" si="106"/>
        <v>0</v>
      </c>
      <c r="W80" s="92">
        <f t="shared" si="36"/>
        <v>7350.9358944104015</v>
      </c>
      <c r="X80" s="82">
        <f>IF($B80=AP$20,'OBC Cost _Van Oord 2022'!$E$30,0)</f>
        <v>0</v>
      </c>
      <c r="Y80" s="38">
        <f t="shared" si="37"/>
        <v>0</v>
      </c>
      <c r="Z80" s="38"/>
      <c r="AA80" s="38"/>
      <c r="AB80" s="38"/>
      <c r="AC80" s="38"/>
      <c r="AD80" s="38"/>
      <c r="AE80" s="38"/>
      <c r="AF80" s="38"/>
      <c r="AG80" s="38"/>
      <c r="AH80" s="38"/>
      <c r="AI80" s="38"/>
      <c r="AJ80" s="38"/>
      <c r="AK80" s="38"/>
      <c r="AL80" s="38"/>
      <c r="AM80" s="38"/>
      <c r="AN80" s="38"/>
      <c r="AO80" s="38"/>
      <c r="AP80" s="38"/>
      <c r="AQ80" s="45">
        <f t="shared" si="102"/>
        <v>0</v>
      </c>
      <c r="AR80" s="45"/>
      <c r="AS80" s="46">
        <f t="shared" si="111"/>
        <v>0</v>
      </c>
      <c r="AT80" s="41">
        <f t="shared" si="112"/>
        <v>0</v>
      </c>
      <c r="AU80" s="41">
        <f t="shared" si="113"/>
        <v>0</v>
      </c>
      <c r="AV80" s="47"/>
      <c r="AW80" s="47"/>
      <c r="AX80" s="47"/>
      <c r="AY80" s="47"/>
      <c r="AZ80" s="47"/>
      <c r="BA80" s="47"/>
      <c r="BB80" s="47"/>
      <c r="BC80" s="47"/>
      <c r="BD80" s="47"/>
      <c r="BE80" s="47"/>
      <c r="BF80" s="47"/>
      <c r="BG80" s="47"/>
      <c r="BH80" s="47"/>
      <c r="BI80" s="47"/>
      <c r="BJ80" s="47"/>
      <c r="BK80" s="47"/>
      <c r="BL80" s="47"/>
      <c r="BM80" s="47">
        <f t="shared" si="96"/>
        <v>0</v>
      </c>
      <c r="BN80" s="92">
        <f t="shared" si="114"/>
        <v>0</v>
      </c>
      <c r="BO80" s="82">
        <f>IF($B80=BQ$20,'Construction Costs_2022'!$K$84+'Construction Costs_2022'!$K$7,0)</f>
        <v>0</v>
      </c>
      <c r="BP80" s="38">
        <f t="shared" si="115"/>
        <v>0</v>
      </c>
      <c r="BQ80" s="38"/>
      <c r="BR80" s="45"/>
      <c r="BS80" s="46">
        <f t="shared" si="97"/>
        <v>0</v>
      </c>
      <c r="BT80" s="41">
        <f t="shared" si="20"/>
        <v>0</v>
      </c>
      <c r="BU80" s="41">
        <f t="shared" si="20"/>
        <v>0</v>
      </c>
      <c r="BV80" s="47">
        <f t="shared" si="20"/>
        <v>0</v>
      </c>
      <c r="BW80" s="47">
        <f t="shared" si="20"/>
        <v>0</v>
      </c>
      <c r="BX80" s="92">
        <f t="shared" si="52"/>
        <v>0</v>
      </c>
      <c r="BY80" s="82">
        <f>IF($B80=CA$20,'Construction Costs_2022'!$K$104+'Construction Costs_2022'!$K$7,0)</f>
        <v>0</v>
      </c>
      <c r="BZ80" s="38">
        <f t="shared" si="116"/>
        <v>0</v>
      </c>
      <c r="CA80" s="38"/>
      <c r="CB80" s="45"/>
      <c r="CC80" s="46">
        <f t="shared" si="98"/>
        <v>0</v>
      </c>
      <c r="CD80" s="41">
        <f t="shared" si="23"/>
        <v>0</v>
      </c>
      <c r="CE80" s="41">
        <f t="shared" si="23"/>
        <v>0</v>
      </c>
      <c r="CF80" s="47">
        <f t="shared" si="23"/>
        <v>0</v>
      </c>
      <c r="CG80" s="47">
        <f t="shared" si="23"/>
        <v>0</v>
      </c>
      <c r="CH80" s="92">
        <f t="shared" si="53"/>
        <v>0</v>
      </c>
      <c r="CI80" s="82">
        <f>IF($B80=DA$20,'OBC Cost _Van Oord 2022'!$E$30,0)</f>
        <v>0</v>
      </c>
      <c r="CJ80" s="38">
        <f t="shared" si="54"/>
        <v>0</v>
      </c>
      <c r="CK80" s="38"/>
      <c r="CL80" s="38"/>
      <c r="CM80" s="38"/>
      <c r="CN80" s="38"/>
      <c r="CO80" s="38"/>
      <c r="CP80" s="38"/>
      <c r="CQ80" s="38"/>
      <c r="CR80" s="38"/>
      <c r="CS80" s="38"/>
      <c r="CT80" s="38"/>
      <c r="CU80" s="38"/>
      <c r="CV80" s="38"/>
      <c r="CW80" s="38"/>
      <c r="CX80" s="38"/>
      <c r="CY80" s="38"/>
      <c r="CZ80" s="38"/>
      <c r="DA80" s="38"/>
      <c r="DB80" s="45">
        <f t="shared" si="103"/>
        <v>0</v>
      </c>
      <c r="DC80" s="45"/>
      <c r="DD80" s="46">
        <f t="shared" si="117"/>
        <v>0</v>
      </c>
      <c r="DE80" s="41">
        <f t="shared" si="99"/>
        <v>0</v>
      </c>
      <c r="DF80" s="41">
        <f t="shared" si="27"/>
        <v>0</v>
      </c>
      <c r="DG80" s="47"/>
      <c r="DH80" s="47"/>
      <c r="DI80" s="47"/>
      <c r="DJ80" s="47"/>
      <c r="DK80" s="47"/>
      <c r="DL80" s="47"/>
      <c r="DM80" s="47"/>
      <c r="DN80" s="47"/>
      <c r="DO80" s="47"/>
      <c r="DP80" s="47"/>
      <c r="DQ80" s="47"/>
      <c r="DR80" s="47"/>
      <c r="DS80" s="47"/>
      <c r="DT80" s="47"/>
      <c r="DU80" s="47"/>
      <c r="DV80" s="47"/>
      <c r="DW80" s="47"/>
      <c r="DX80" s="47">
        <f t="shared" si="101"/>
        <v>0</v>
      </c>
      <c r="DY80" s="92">
        <f t="shared" si="118"/>
        <v>0</v>
      </c>
    </row>
    <row r="81" spans="2:129" s="3" customFormat="1" ht="12.75" x14ac:dyDescent="0.2">
      <c r="B81" s="12">
        <f t="shared" si="30"/>
        <v>56</v>
      </c>
      <c r="C81" s="13">
        <f t="shared" si="107"/>
        <v>0.16520442049645814</v>
      </c>
      <c r="D81" s="82">
        <f>IF($B81=F$20,'Construction Costs_2022'!$K$22+'Construction Costs_2022'!$K$7,0)</f>
        <v>0</v>
      </c>
      <c r="E81" s="38">
        <f t="shared" si="32"/>
        <v>28800</v>
      </c>
      <c r="F81" s="38"/>
      <c r="G81" s="45"/>
      <c r="H81" s="46">
        <f t="shared" si="108"/>
        <v>28800</v>
      </c>
      <c r="I81" s="41">
        <f t="shared" si="109"/>
        <v>0</v>
      </c>
      <c r="J81" s="41">
        <f t="shared" si="109"/>
        <v>4757.8873102979942</v>
      </c>
      <c r="K81" s="47">
        <f t="shared" si="109"/>
        <v>0</v>
      </c>
      <c r="L81" s="47">
        <f t="shared" si="109"/>
        <v>0</v>
      </c>
      <c r="M81" s="92">
        <f t="shared" si="33"/>
        <v>4757.8873102979942</v>
      </c>
      <c r="N81" s="91">
        <f>IF($B81=P$20,'Construction Costs_2022'!$K$43+'Construction Costs_2022'!$K$7,0)</f>
        <v>0</v>
      </c>
      <c r="O81" s="38">
        <f t="shared" si="34"/>
        <v>43200</v>
      </c>
      <c r="P81" s="38"/>
      <c r="Q81" s="45"/>
      <c r="R81" s="46">
        <f t="shared" si="110"/>
        <v>43200</v>
      </c>
      <c r="S81" s="41">
        <f t="shared" si="119"/>
        <v>0</v>
      </c>
      <c r="T81" s="41">
        <f t="shared" si="119"/>
        <v>7136.8309654469922</v>
      </c>
      <c r="U81" s="47">
        <f t="shared" si="104"/>
        <v>0</v>
      </c>
      <c r="V81" s="47">
        <f t="shared" si="106"/>
        <v>0</v>
      </c>
      <c r="W81" s="92">
        <f t="shared" si="36"/>
        <v>7136.8309654469922</v>
      </c>
      <c r="X81" s="82">
        <f>IF($B81=AP$20,'OBC Cost _Van Oord 2022'!$E$30,0)</f>
        <v>0</v>
      </c>
      <c r="Y81" s="38">
        <f t="shared" si="37"/>
        <v>0</v>
      </c>
      <c r="Z81" s="38"/>
      <c r="AA81" s="38"/>
      <c r="AB81" s="38"/>
      <c r="AC81" s="38"/>
      <c r="AD81" s="38"/>
      <c r="AE81" s="38"/>
      <c r="AF81" s="38"/>
      <c r="AG81" s="38"/>
      <c r="AH81" s="38"/>
      <c r="AI81" s="38"/>
      <c r="AJ81" s="38"/>
      <c r="AK81" s="38"/>
      <c r="AL81" s="38"/>
      <c r="AM81" s="38"/>
      <c r="AN81" s="38"/>
      <c r="AO81" s="38"/>
      <c r="AP81" s="38"/>
      <c r="AQ81" s="45">
        <f t="shared" si="102"/>
        <v>0</v>
      </c>
      <c r="AR81" s="45"/>
      <c r="AS81" s="46">
        <f t="shared" si="111"/>
        <v>0</v>
      </c>
      <c r="AT81" s="41">
        <f t="shared" si="112"/>
        <v>0</v>
      </c>
      <c r="AU81" s="41">
        <f t="shared" si="113"/>
        <v>0</v>
      </c>
      <c r="AV81" s="47"/>
      <c r="AW81" s="47"/>
      <c r="AX81" s="47"/>
      <c r="AY81" s="47"/>
      <c r="AZ81" s="47"/>
      <c r="BA81" s="47"/>
      <c r="BB81" s="47"/>
      <c r="BC81" s="47"/>
      <c r="BD81" s="47"/>
      <c r="BE81" s="47"/>
      <c r="BF81" s="47"/>
      <c r="BG81" s="47"/>
      <c r="BH81" s="47"/>
      <c r="BI81" s="47"/>
      <c r="BJ81" s="47"/>
      <c r="BK81" s="47"/>
      <c r="BL81" s="47"/>
      <c r="BM81" s="47">
        <f t="shared" si="96"/>
        <v>0</v>
      </c>
      <c r="BN81" s="92">
        <f t="shared" si="114"/>
        <v>0</v>
      </c>
      <c r="BO81" s="82">
        <f>IF($B81=BQ$20,'Construction Costs_2022'!$K$84+'Construction Costs_2022'!$K$7,0)</f>
        <v>0</v>
      </c>
      <c r="BP81" s="38">
        <f t="shared" si="115"/>
        <v>0</v>
      </c>
      <c r="BQ81" s="38"/>
      <c r="BR81" s="45"/>
      <c r="BS81" s="46">
        <f t="shared" si="97"/>
        <v>0</v>
      </c>
      <c r="BT81" s="41">
        <f t="shared" si="20"/>
        <v>0</v>
      </c>
      <c r="BU81" s="41">
        <f t="shared" si="20"/>
        <v>0</v>
      </c>
      <c r="BV81" s="47">
        <f t="shared" si="20"/>
        <v>0</v>
      </c>
      <c r="BW81" s="47">
        <f t="shared" si="20"/>
        <v>0</v>
      </c>
      <c r="BX81" s="92">
        <f t="shared" si="52"/>
        <v>0</v>
      </c>
      <c r="BY81" s="82">
        <f>IF($B81=CA$20,'Construction Costs_2022'!$K$104+'Construction Costs_2022'!$K$7,0)</f>
        <v>0</v>
      </c>
      <c r="BZ81" s="38">
        <f t="shared" si="116"/>
        <v>0</v>
      </c>
      <c r="CA81" s="38"/>
      <c r="CB81" s="45"/>
      <c r="CC81" s="46">
        <f t="shared" si="98"/>
        <v>0</v>
      </c>
      <c r="CD81" s="41">
        <f t="shared" si="23"/>
        <v>0</v>
      </c>
      <c r="CE81" s="41">
        <f t="shared" si="23"/>
        <v>0</v>
      </c>
      <c r="CF81" s="47">
        <f t="shared" si="23"/>
        <v>0</v>
      </c>
      <c r="CG81" s="47">
        <f t="shared" si="23"/>
        <v>0</v>
      </c>
      <c r="CH81" s="92">
        <f t="shared" si="53"/>
        <v>0</v>
      </c>
      <c r="CI81" s="82">
        <f>IF($B81=DA$20,'OBC Cost _Van Oord 2022'!$E$30,0)</f>
        <v>0</v>
      </c>
      <c r="CJ81" s="38">
        <f t="shared" si="54"/>
        <v>0</v>
      </c>
      <c r="CK81" s="38"/>
      <c r="CL81" s="38"/>
      <c r="CM81" s="38"/>
      <c r="CN81" s="38"/>
      <c r="CO81" s="38"/>
      <c r="CP81" s="38"/>
      <c r="CQ81" s="38"/>
      <c r="CR81" s="38"/>
      <c r="CS81" s="38"/>
      <c r="CT81" s="38"/>
      <c r="CU81" s="38"/>
      <c r="CV81" s="38"/>
      <c r="CW81" s="38"/>
      <c r="CX81" s="38"/>
      <c r="CY81" s="38"/>
      <c r="CZ81" s="38"/>
      <c r="DA81" s="38"/>
      <c r="DB81" s="45">
        <f t="shared" si="103"/>
        <v>0</v>
      </c>
      <c r="DC81" s="45"/>
      <c r="DD81" s="46">
        <f t="shared" si="117"/>
        <v>0</v>
      </c>
      <c r="DE81" s="41">
        <f t="shared" si="99"/>
        <v>0</v>
      </c>
      <c r="DF81" s="41">
        <f t="shared" si="27"/>
        <v>0</v>
      </c>
      <c r="DG81" s="47"/>
      <c r="DH81" s="47"/>
      <c r="DI81" s="47"/>
      <c r="DJ81" s="47"/>
      <c r="DK81" s="47"/>
      <c r="DL81" s="47"/>
      <c r="DM81" s="47"/>
      <c r="DN81" s="47"/>
      <c r="DO81" s="47"/>
      <c r="DP81" s="47"/>
      <c r="DQ81" s="47"/>
      <c r="DR81" s="47"/>
      <c r="DS81" s="47"/>
      <c r="DT81" s="47"/>
      <c r="DU81" s="47"/>
      <c r="DV81" s="47"/>
      <c r="DW81" s="47"/>
      <c r="DX81" s="47">
        <f t="shared" si="101"/>
        <v>0</v>
      </c>
      <c r="DY81" s="92">
        <f t="shared" si="118"/>
        <v>0</v>
      </c>
    </row>
    <row r="82" spans="2:129" s="3" customFormat="1" ht="12.75" x14ac:dyDescent="0.2">
      <c r="B82" s="12">
        <f t="shared" si="30"/>
        <v>57</v>
      </c>
      <c r="C82" s="13">
        <f t="shared" si="107"/>
        <v>0.16039264125869723</v>
      </c>
      <c r="D82" s="82">
        <f>IF($B82=F$20,'Construction Costs_2022'!$K$22+'Construction Costs_2022'!$K$7,0)</f>
        <v>0</v>
      </c>
      <c r="E82" s="38">
        <f t="shared" si="32"/>
        <v>28800</v>
      </c>
      <c r="F82" s="38"/>
      <c r="G82" s="45"/>
      <c r="H82" s="46">
        <f t="shared" si="108"/>
        <v>28800</v>
      </c>
      <c r="I82" s="41">
        <f t="shared" si="109"/>
        <v>0</v>
      </c>
      <c r="J82" s="41">
        <f t="shared" si="109"/>
        <v>4619.3080682504806</v>
      </c>
      <c r="K82" s="47">
        <f t="shared" si="109"/>
        <v>0</v>
      </c>
      <c r="L82" s="47">
        <f t="shared" si="109"/>
        <v>0</v>
      </c>
      <c r="M82" s="92">
        <f t="shared" si="33"/>
        <v>4619.3080682504806</v>
      </c>
      <c r="N82" s="91">
        <f>IF($B82=P$20,'Construction Costs_2022'!$K$43+'Construction Costs_2022'!$K$7,0)</f>
        <v>0</v>
      </c>
      <c r="O82" s="38">
        <f t="shared" si="34"/>
        <v>43200</v>
      </c>
      <c r="P82" s="38"/>
      <c r="Q82" s="45"/>
      <c r="R82" s="46">
        <f t="shared" si="110"/>
        <v>43200</v>
      </c>
      <c r="S82" s="41">
        <f t="shared" si="119"/>
        <v>0</v>
      </c>
      <c r="T82" s="41">
        <f t="shared" si="119"/>
        <v>6928.9621023757209</v>
      </c>
      <c r="U82" s="47">
        <f t="shared" si="104"/>
        <v>0</v>
      </c>
      <c r="V82" s="47">
        <f t="shared" si="106"/>
        <v>0</v>
      </c>
      <c r="W82" s="92">
        <f t="shared" si="36"/>
        <v>6928.9621023757209</v>
      </c>
      <c r="X82" s="82">
        <f>IF($B82=AP$20,'OBC Cost _Van Oord 2022'!$E$30,0)</f>
        <v>0</v>
      </c>
      <c r="Y82" s="38">
        <f t="shared" si="37"/>
        <v>86400</v>
      </c>
      <c r="Z82" s="38"/>
      <c r="AA82" s="38"/>
      <c r="AB82" s="38"/>
      <c r="AC82" s="38"/>
      <c r="AD82" s="38"/>
      <c r="AE82" s="38"/>
      <c r="AF82" s="38"/>
      <c r="AG82" s="38"/>
      <c r="AH82" s="38"/>
      <c r="AI82" s="38"/>
      <c r="AJ82" s="38"/>
      <c r="AK82" s="38"/>
      <c r="AL82" s="38"/>
      <c r="AM82" s="38"/>
      <c r="AN82" s="38"/>
      <c r="AO82" s="38"/>
      <c r="AP82" s="38"/>
      <c r="AQ82" s="45">
        <f t="shared" si="102"/>
        <v>22464</v>
      </c>
      <c r="AR82" s="45"/>
      <c r="AS82" s="46">
        <f t="shared" si="111"/>
        <v>108864</v>
      </c>
      <c r="AT82" s="41">
        <f t="shared" si="112"/>
        <v>0</v>
      </c>
      <c r="AU82" s="41">
        <f t="shared" si="113"/>
        <v>13857.924204751442</v>
      </c>
      <c r="AV82" s="47"/>
      <c r="AW82" s="47"/>
      <c r="AX82" s="47"/>
      <c r="AY82" s="47"/>
      <c r="AZ82" s="47"/>
      <c r="BA82" s="47"/>
      <c r="BB82" s="47"/>
      <c r="BC82" s="47"/>
      <c r="BD82" s="47"/>
      <c r="BE82" s="47"/>
      <c r="BF82" s="47"/>
      <c r="BG82" s="47"/>
      <c r="BH82" s="47"/>
      <c r="BI82" s="47"/>
      <c r="BJ82" s="47"/>
      <c r="BK82" s="47"/>
      <c r="BL82" s="47"/>
      <c r="BM82" s="47">
        <f t="shared" si="96"/>
        <v>3603.0602932353745</v>
      </c>
      <c r="BN82" s="92">
        <f t="shared" si="114"/>
        <v>17460.984497986818</v>
      </c>
      <c r="BO82" s="82">
        <f>IF($B82=BQ$20,'Construction Costs_2022'!$K$84+'Construction Costs_2022'!$K$7,0)</f>
        <v>0</v>
      </c>
      <c r="BP82" s="38">
        <f t="shared" si="115"/>
        <v>100800</v>
      </c>
      <c r="BQ82" s="38"/>
      <c r="BR82" s="45"/>
      <c r="BS82" s="46">
        <f t="shared" si="97"/>
        <v>100800</v>
      </c>
      <c r="BT82" s="41">
        <f t="shared" si="20"/>
        <v>0</v>
      </c>
      <c r="BU82" s="41">
        <f t="shared" si="20"/>
        <v>16167.57823887668</v>
      </c>
      <c r="BV82" s="47">
        <f t="shared" si="20"/>
        <v>0</v>
      </c>
      <c r="BW82" s="47">
        <f t="shared" si="20"/>
        <v>0</v>
      </c>
      <c r="BX82" s="92">
        <f t="shared" si="52"/>
        <v>16167.57823887668</v>
      </c>
      <c r="BY82" s="82">
        <f>IF($B82=CA$20,'Construction Costs_2022'!$K$104+'Construction Costs_2022'!$K$7,0)</f>
        <v>0</v>
      </c>
      <c r="BZ82" s="38">
        <f t="shared" si="116"/>
        <v>57600</v>
      </c>
      <c r="CA82" s="38"/>
      <c r="CB82" s="45"/>
      <c r="CC82" s="46">
        <f t="shared" si="98"/>
        <v>57600</v>
      </c>
      <c r="CD82" s="41">
        <f t="shared" si="23"/>
        <v>0</v>
      </c>
      <c r="CE82" s="41">
        <f t="shared" si="23"/>
        <v>9238.6161365009611</v>
      </c>
      <c r="CF82" s="47">
        <f t="shared" si="23"/>
        <v>0</v>
      </c>
      <c r="CG82" s="47">
        <f t="shared" si="23"/>
        <v>0</v>
      </c>
      <c r="CH82" s="92">
        <f t="shared" si="53"/>
        <v>9238.6161365009611</v>
      </c>
      <c r="CI82" s="82">
        <f>IF($B82=DA$20,'OBC Cost _Van Oord 2022'!$E$30,0)</f>
        <v>0</v>
      </c>
      <c r="CJ82" s="38">
        <f t="shared" si="54"/>
        <v>86400</v>
      </c>
      <c r="CK82" s="38"/>
      <c r="CL82" s="38"/>
      <c r="CM82" s="38"/>
      <c r="CN82" s="38"/>
      <c r="CO82" s="38"/>
      <c r="CP82" s="38"/>
      <c r="CQ82" s="38"/>
      <c r="CR82" s="38"/>
      <c r="CS82" s="38"/>
      <c r="CT82" s="38"/>
      <c r="CU82" s="38"/>
      <c r="CV82" s="38"/>
      <c r="CW82" s="38"/>
      <c r="CX82" s="38"/>
      <c r="CY82" s="38"/>
      <c r="CZ82" s="38"/>
      <c r="DA82" s="38"/>
      <c r="DB82" s="45">
        <f t="shared" si="103"/>
        <v>25920</v>
      </c>
      <c r="DC82" s="45"/>
      <c r="DD82" s="46">
        <f t="shared" si="117"/>
        <v>112320</v>
      </c>
      <c r="DE82" s="41">
        <f t="shared" si="99"/>
        <v>0</v>
      </c>
      <c r="DF82" s="41">
        <f t="shared" si="27"/>
        <v>13857.924204751442</v>
      </c>
      <c r="DG82" s="47"/>
      <c r="DH82" s="47"/>
      <c r="DI82" s="47"/>
      <c r="DJ82" s="47"/>
      <c r="DK82" s="47"/>
      <c r="DL82" s="47"/>
      <c r="DM82" s="47"/>
      <c r="DN82" s="47"/>
      <c r="DO82" s="47"/>
      <c r="DP82" s="47"/>
      <c r="DQ82" s="47"/>
      <c r="DR82" s="47"/>
      <c r="DS82" s="47"/>
      <c r="DT82" s="47"/>
      <c r="DU82" s="47"/>
      <c r="DV82" s="47"/>
      <c r="DW82" s="47"/>
      <c r="DX82" s="47">
        <f t="shared" si="101"/>
        <v>4157.3772614254322</v>
      </c>
      <c r="DY82" s="92">
        <f t="shared" si="118"/>
        <v>18015.301466176876</v>
      </c>
    </row>
    <row r="83" spans="2:129" s="3" customFormat="1" ht="12.75" x14ac:dyDescent="0.2">
      <c r="B83" s="12">
        <f t="shared" si="30"/>
        <v>58</v>
      </c>
      <c r="C83" s="13">
        <f t="shared" si="107"/>
        <v>0.15572101093077401</v>
      </c>
      <c r="D83" s="82">
        <f>IF($B83=F$20,'Construction Costs_2022'!$K$22+'Construction Costs_2022'!$K$7,0)</f>
        <v>0</v>
      </c>
      <c r="E83" s="38">
        <f t="shared" si="32"/>
        <v>28800</v>
      </c>
      <c r="F83" s="38"/>
      <c r="G83" s="45"/>
      <c r="H83" s="46">
        <f t="shared" si="108"/>
        <v>28800</v>
      </c>
      <c r="I83" s="41">
        <f t="shared" si="109"/>
        <v>0</v>
      </c>
      <c r="J83" s="41">
        <f t="shared" si="109"/>
        <v>4484.7651148062914</v>
      </c>
      <c r="K83" s="47">
        <f t="shared" si="109"/>
        <v>0</v>
      </c>
      <c r="L83" s="47">
        <f t="shared" si="109"/>
        <v>0</v>
      </c>
      <c r="M83" s="92">
        <f t="shared" si="33"/>
        <v>4484.7651148062914</v>
      </c>
      <c r="N83" s="91">
        <f>IF($B83=P$20,'Construction Costs_2022'!$K$43+'Construction Costs_2022'!$K$7,0)</f>
        <v>0</v>
      </c>
      <c r="O83" s="38">
        <f t="shared" si="34"/>
        <v>43200</v>
      </c>
      <c r="P83" s="38"/>
      <c r="Q83" s="45"/>
      <c r="R83" s="46">
        <f t="shared" si="110"/>
        <v>43200</v>
      </c>
      <c r="S83" s="41">
        <f t="shared" si="119"/>
        <v>0</v>
      </c>
      <c r="T83" s="41">
        <f t="shared" si="119"/>
        <v>6727.1476722094367</v>
      </c>
      <c r="U83" s="47">
        <f t="shared" si="104"/>
        <v>0</v>
      </c>
      <c r="V83" s="47">
        <f t="shared" si="106"/>
        <v>0</v>
      </c>
      <c r="W83" s="92">
        <f t="shared" si="36"/>
        <v>6727.1476722094367</v>
      </c>
      <c r="X83" s="82">
        <f>IF($B83=AP$20,'OBC Cost _Van Oord 2022'!$E$30,0)</f>
        <v>0</v>
      </c>
      <c r="Y83" s="38">
        <f t="shared" si="37"/>
        <v>0</v>
      </c>
      <c r="Z83" s="38"/>
      <c r="AA83" s="38"/>
      <c r="AB83" s="38"/>
      <c r="AC83" s="38"/>
      <c r="AD83" s="38"/>
      <c r="AE83" s="38"/>
      <c r="AF83" s="38"/>
      <c r="AG83" s="38"/>
      <c r="AH83" s="38"/>
      <c r="AI83" s="38"/>
      <c r="AJ83" s="38"/>
      <c r="AK83" s="38"/>
      <c r="AL83" s="38"/>
      <c r="AM83" s="38"/>
      <c r="AN83" s="38"/>
      <c r="AO83" s="38"/>
      <c r="AP83" s="38"/>
      <c r="AQ83" s="45">
        <f t="shared" si="102"/>
        <v>0</v>
      </c>
      <c r="AR83" s="45"/>
      <c r="AS83" s="46">
        <f t="shared" si="111"/>
        <v>0</v>
      </c>
      <c r="AT83" s="41">
        <f t="shared" si="112"/>
        <v>0</v>
      </c>
      <c r="AU83" s="41">
        <f t="shared" si="113"/>
        <v>0</v>
      </c>
      <c r="AV83" s="47"/>
      <c r="AW83" s="47"/>
      <c r="AX83" s="47"/>
      <c r="AY83" s="47"/>
      <c r="AZ83" s="47"/>
      <c r="BA83" s="47"/>
      <c r="BB83" s="47"/>
      <c r="BC83" s="47"/>
      <c r="BD83" s="47"/>
      <c r="BE83" s="47"/>
      <c r="BF83" s="47"/>
      <c r="BG83" s="47"/>
      <c r="BH83" s="47"/>
      <c r="BI83" s="47"/>
      <c r="BJ83" s="47"/>
      <c r="BK83" s="47"/>
      <c r="BL83" s="47"/>
      <c r="BM83" s="47">
        <f t="shared" si="96"/>
        <v>0</v>
      </c>
      <c r="BN83" s="92">
        <f t="shared" si="114"/>
        <v>0</v>
      </c>
      <c r="BO83" s="82">
        <f>IF($B83=BQ$20,'Construction Costs_2022'!$K$84+'Construction Costs_2022'!$K$7,0)</f>
        <v>0</v>
      </c>
      <c r="BP83" s="38">
        <f t="shared" si="115"/>
        <v>0</v>
      </c>
      <c r="BQ83" s="38"/>
      <c r="BR83" s="45"/>
      <c r="BS83" s="46">
        <f t="shared" si="97"/>
        <v>0</v>
      </c>
      <c r="BT83" s="41">
        <f t="shared" si="20"/>
        <v>0</v>
      </c>
      <c r="BU83" s="41">
        <f t="shared" si="20"/>
        <v>0</v>
      </c>
      <c r="BV83" s="47">
        <f t="shared" si="20"/>
        <v>0</v>
      </c>
      <c r="BW83" s="47">
        <f t="shared" si="20"/>
        <v>0</v>
      </c>
      <c r="BX83" s="92">
        <f t="shared" si="52"/>
        <v>0</v>
      </c>
      <c r="BY83" s="82">
        <f>IF($B83=CA$20,'Construction Costs_2022'!$K$104+'Construction Costs_2022'!$K$7,0)</f>
        <v>0</v>
      </c>
      <c r="BZ83" s="38">
        <f t="shared" si="116"/>
        <v>0</v>
      </c>
      <c r="CA83" s="38"/>
      <c r="CB83" s="45"/>
      <c r="CC83" s="46">
        <f t="shared" si="98"/>
        <v>0</v>
      </c>
      <c r="CD83" s="41">
        <f t="shared" si="23"/>
        <v>0</v>
      </c>
      <c r="CE83" s="41">
        <f t="shared" si="23"/>
        <v>0</v>
      </c>
      <c r="CF83" s="47">
        <f t="shared" si="23"/>
        <v>0</v>
      </c>
      <c r="CG83" s="47">
        <f t="shared" si="23"/>
        <v>0</v>
      </c>
      <c r="CH83" s="92">
        <f t="shared" si="53"/>
        <v>0</v>
      </c>
      <c r="CI83" s="82">
        <f>IF($B83=DA$20,'OBC Cost _Van Oord 2022'!$E$30,0)</f>
        <v>0</v>
      </c>
      <c r="CJ83" s="38">
        <f t="shared" si="54"/>
        <v>0</v>
      </c>
      <c r="CK83" s="38"/>
      <c r="CL83" s="38"/>
      <c r="CM83" s="38"/>
      <c r="CN83" s="38"/>
      <c r="CO83" s="38"/>
      <c r="CP83" s="38"/>
      <c r="CQ83" s="38"/>
      <c r="CR83" s="38"/>
      <c r="CS83" s="38"/>
      <c r="CT83" s="38"/>
      <c r="CU83" s="38"/>
      <c r="CV83" s="38"/>
      <c r="CW83" s="38"/>
      <c r="CX83" s="38"/>
      <c r="CY83" s="38"/>
      <c r="CZ83" s="38"/>
      <c r="DA83" s="38"/>
      <c r="DB83" s="45">
        <f t="shared" si="103"/>
        <v>0</v>
      </c>
      <c r="DC83" s="45"/>
      <c r="DD83" s="46">
        <f t="shared" si="117"/>
        <v>0</v>
      </c>
      <c r="DE83" s="41">
        <f t="shared" si="99"/>
        <v>0</v>
      </c>
      <c r="DF83" s="41">
        <f t="shared" si="27"/>
        <v>0</v>
      </c>
      <c r="DG83" s="47"/>
      <c r="DH83" s="47"/>
      <c r="DI83" s="47"/>
      <c r="DJ83" s="47"/>
      <c r="DK83" s="47"/>
      <c r="DL83" s="47"/>
      <c r="DM83" s="47"/>
      <c r="DN83" s="47"/>
      <c r="DO83" s="47"/>
      <c r="DP83" s="47"/>
      <c r="DQ83" s="47"/>
      <c r="DR83" s="47"/>
      <c r="DS83" s="47"/>
      <c r="DT83" s="47"/>
      <c r="DU83" s="47"/>
      <c r="DV83" s="47"/>
      <c r="DW83" s="47"/>
      <c r="DX83" s="47">
        <f t="shared" si="101"/>
        <v>0</v>
      </c>
      <c r="DY83" s="92">
        <f t="shared" si="118"/>
        <v>0</v>
      </c>
    </row>
    <row r="84" spans="2:129" s="3" customFormat="1" ht="12.75" x14ac:dyDescent="0.2">
      <c r="B84" s="12">
        <f t="shared" si="30"/>
        <v>59</v>
      </c>
      <c r="C84" s="13">
        <f t="shared" si="107"/>
        <v>0.15118544750560584</v>
      </c>
      <c r="D84" s="82">
        <f>IF($B84=F$20,'Construction Costs_2022'!$K$22+'Construction Costs_2022'!$K$7,0)</f>
        <v>0</v>
      </c>
      <c r="E84" s="38">
        <f t="shared" si="32"/>
        <v>28800</v>
      </c>
      <c r="F84" s="38"/>
      <c r="G84" s="45"/>
      <c r="H84" s="46">
        <f t="shared" si="108"/>
        <v>28800</v>
      </c>
      <c r="I84" s="41">
        <f t="shared" si="109"/>
        <v>0</v>
      </c>
      <c r="J84" s="41">
        <f t="shared" si="109"/>
        <v>4354.1408881614479</v>
      </c>
      <c r="K84" s="47">
        <f t="shared" si="109"/>
        <v>0</v>
      </c>
      <c r="L84" s="47">
        <f t="shared" si="109"/>
        <v>0</v>
      </c>
      <c r="M84" s="92">
        <f t="shared" si="33"/>
        <v>4354.1408881614479</v>
      </c>
      <c r="N84" s="91">
        <f>IF($B84=P$20,'Construction Costs_2022'!$K$43+'Construction Costs_2022'!$K$7,0)</f>
        <v>0</v>
      </c>
      <c r="O84" s="38">
        <f t="shared" si="34"/>
        <v>43200</v>
      </c>
      <c r="P84" s="38"/>
      <c r="Q84" s="45"/>
      <c r="R84" s="46">
        <f t="shared" si="110"/>
        <v>43200</v>
      </c>
      <c r="S84" s="41">
        <f t="shared" si="119"/>
        <v>0</v>
      </c>
      <c r="T84" s="41">
        <f t="shared" si="119"/>
        <v>6531.2113322421719</v>
      </c>
      <c r="U84" s="47">
        <f t="shared" si="104"/>
        <v>0</v>
      </c>
      <c r="V84" s="47">
        <f t="shared" si="106"/>
        <v>0</v>
      </c>
      <c r="W84" s="92">
        <f t="shared" si="36"/>
        <v>6531.2113322421719</v>
      </c>
      <c r="X84" s="82">
        <f>IF($B84=AP$20,'OBC Cost _Van Oord 2022'!$E$30,0)</f>
        <v>0</v>
      </c>
      <c r="Y84" s="38">
        <f t="shared" si="37"/>
        <v>0</v>
      </c>
      <c r="Z84" s="38"/>
      <c r="AA84" s="38"/>
      <c r="AB84" s="38"/>
      <c r="AC84" s="38"/>
      <c r="AD84" s="38"/>
      <c r="AE84" s="38"/>
      <c r="AF84" s="38"/>
      <c r="AG84" s="38"/>
      <c r="AH84" s="38"/>
      <c r="AI84" s="38"/>
      <c r="AJ84" s="38"/>
      <c r="AK84" s="38"/>
      <c r="AL84" s="38"/>
      <c r="AM84" s="38"/>
      <c r="AN84" s="38"/>
      <c r="AO84" s="38"/>
      <c r="AP84" s="38"/>
      <c r="AQ84" s="45">
        <f t="shared" si="102"/>
        <v>0</v>
      </c>
      <c r="AR84" s="45"/>
      <c r="AS84" s="46">
        <f t="shared" si="111"/>
        <v>0</v>
      </c>
      <c r="AT84" s="41">
        <f t="shared" si="112"/>
        <v>0</v>
      </c>
      <c r="AU84" s="41">
        <f t="shared" si="113"/>
        <v>0</v>
      </c>
      <c r="AV84" s="47"/>
      <c r="AW84" s="47"/>
      <c r="AX84" s="47"/>
      <c r="AY84" s="47"/>
      <c r="AZ84" s="47"/>
      <c r="BA84" s="47"/>
      <c r="BB84" s="47"/>
      <c r="BC84" s="47"/>
      <c r="BD84" s="47"/>
      <c r="BE84" s="47"/>
      <c r="BF84" s="47"/>
      <c r="BG84" s="47"/>
      <c r="BH84" s="47"/>
      <c r="BI84" s="47"/>
      <c r="BJ84" s="47"/>
      <c r="BK84" s="47"/>
      <c r="BL84" s="47"/>
      <c r="BM84" s="47">
        <f t="shared" si="96"/>
        <v>0</v>
      </c>
      <c r="BN84" s="92">
        <f t="shared" si="114"/>
        <v>0</v>
      </c>
      <c r="BO84" s="82">
        <f>IF($B84=BQ$20,'Construction Costs_2022'!$K$84+'Construction Costs_2022'!$K$7,0)</f>
        <v>0</v>
      </c>
      <c r="BP84" s="38">
        <f t="shared" si="115"/>
        <v>0</v>
      </c>
      <c r="BQ84" s="38"/>
      <c r="BR84" s="45"/>
      <c r="BS84" s="46">
        <f t="shared" si="97"/>
        <v>0</v>
      </c>
      <c r="BT84" s="41">
        <f t="shared" si="20"/>
        <v>0</v>
      </c>
      <c r="BU84" s="41">
        <f t="shared" si="20"/>
        <v>0</v>
      </c>
      <c r="BV84" s="47">
        <f t="shared" si="20"/>
        <v>0</v>
      </c>
      <c r="BW84" s="47">
        <f t="shared" si="20"/>
        <v>0</v>
      </c>
      <c r="BX84" s="92">
        <f t="shared" si="52"/>
        <v>0</v>
      </c>
      <c r="BY84" s="82">
        <f>IF($B84=CA$20,'Construction Costs_2022'!$K$104+'Construction Costs_2022'!$K$7,0)</f>
        <v>0</v>
      </c>
      <c r="BZ84" s="38">
        <f t="shared" si="116"/>
        <v>0</v>
      </c>
      <c r="CA84" s="38"/>
      <c r="CB84" s="45"/>
      <c r="CC84" s="46">
        <f t="shared" si="98"/>
        <v>0</v>
      </c>
      <c r="CD84" s="41">
        <f t="shared" si="23"/>
        <v>0</v>
      </c>
      <c r="CE84" s="41">
        <f t="shared" si="23"/>
        <v>0</v>
      </c>
      <c r="CF84" s="47">
        <f t="shared" si="23"/>
        <v>0</v>
      </c>
      <c r="CG84" s="47">
        <f t="shared" si="23"/>
        <v>0</v>
      </c>
      <c r="CH84" s="92">
        <f t="shared" si="53"/>
        <v>0</v>
      </c>
      <c r="CI84" s="82">
        <f>IF($B84=DA$20,'OBC Cost _Van Oord 2022'!$E$30,0)</f>
        <v>0</v>
      </c>
      <c r="CJ84" s="38">
        <f t="shared" si="54"/>
        <v>0</v>
      </c>
      <c r="CK84" s="38"/>
      <c r="CL84" s="38"/>
      <c r="CM84" s="38"/>
      <c r="CN84" s="38"/>
      <c r="CO84" s="38"/>
      <c r="CP84" s="38"/>
      <c r="CQ84" s="38"/>
      <c r="CR84" s="38"/>
      <c r="CS84" s="38"/>
      <c r="CT84" s="38"/>
      <c r="CU84" s="38"/>
      <c r="CV84" s="38"/>
      <c r="CW84" s="38"/>
      <c r="CX84" s="38"/>
      <c r="CY84" s="38"/>
      <c r="CZ84" s="38"/>
      <c r="DA84" s="38"/>
      <c r="DB84" s="45">
        <f t="shared" si="103"/>
        <v>0</v>
      </c>
      <c r="DC84" s="45"/>
      <c r="DD84" s="46">
        <f t="shared" si="117"/>
        <v>0</v>
      </c>
      <c r="DE84" s="41">
        <f t="shared" si="99"/>
        <v>0</v>
      </c>
      <c r="DF84" s="41">
        <f t="shared" si="27"/>
        <v>0</v>
      </c>
      <c r="DG84" s="47"/>
      <c r="DH84" s="47"/>
      <c r="DI84" s="47"/>
      <c r="DJ84" s="47"/>
      <c r="DK84" s="47"/>
      <c r="DL84" s="47"/>
      <c r="DM84" s="47"/>
      <c r="DN84" s="47"/>
      <c r="DO84" s="47"/>
      <c r="DP84" s="47"/>
      <c r="DQ84" s="47"/>
      <c r="DR84" s="47"/>
      <c r="DS84" s="47"/>
      <c r="DT84" s="47"/>
      <c r="DU84" s="47"/>
      <c r="DV84" s="47"/>
      <c r="DW84" s="47"/>
      <c r="DX84" s="47">
        <f t="shared" si="101"/>
        <v>0</v>
      </c>
      <c r="DY84" s="92">
        <f t="shared" si="118"/>
        <v>0</v>
      </c>
    </row>
    <row r="85" spans="2:129" s="3" customFormat="1" ht="12.75" x14ac:dyDescent="0.2">
      <c r="B85" s="12">
        <f t="shared" si="30"/>
        <v>60</v>
      </c>
      <c r="C85" s="13">
        <f t="shared" si="107"/>
        <v>0.14678198786952024</v>
      </c>
      <c r="D85" s="82">
        <f>IF($B85=F$20,'Construction Costs_2022'!$K$22+'Construction Costs_2022'!$K$7,0)</f>
        <v>0</v>
      </c>
      <c r="E85" s="38">
        <f t="shared" si="32"/>
        <v>28800</v>
      </c>
      <c r="F85" s="38"/>
      <c r="G85" s="45"/>
      <c r="H85" s="46">
        <f t="shared" si="108"/>
        <v>28800</v>
      </c>
      <c r="I85" s="41">
        <f t="shared" si="109"/>
        <v>0</v>
      </c>
      <c r="J85" s="41">
        <f t="shared" si="109"/>
        <v>4227.3212506421823</v>
      </c>
      <c r="K85" s="47">
        <f t="shared" si="109"/>
        <v>0</v>
      </c>
      <c r="L85" s="47">
        <f t="shared" si="109"/>
        <v>0</v>
      </c>
      <c r="M85" s="92">
        <f t="shared" si="33"/>
        <v>4227.3212506421823</v>
      </c>
      <c r="N85" s="91">
        <f>IF($B85=P$20,'Construction Costs_2022'!$K$43+'Construction Costs_2022'!$K$7,0)</f>
        <v>0</v>
      </c>
      <c r="O85" s="38">
        <f t="shared" si="34"/>
        <v>43200</v>
      </c>
      <c r="P85" s="38"/>
      <c r="Q85" s="45"/>
      <c r="R85" s="46">
        <f t="shared" si="110"/>
        <v>43200</v>
      </c>
      <c r="S85" s="41">
        <f t="shared" si="119"/>
        <v>0</v>
      </c>
      <c r="T85" s="41">
        <f t="shared" si="119"/>
        <v>6340.9818759632744</v>
      </c>
      <c r="U85" s="47">
        <f t="shared" si="104"/>
        <v>0</v>
      </c>
      <c r="V85" s="47">
        <f t="shared" si="106"/>
        <v>0</v>
      </c>
      <c r="W85" s="92">
        <f t="shared" si="36"/>
        <v>6340.9818759632744</v>
      </c>
      <c r="X85" s="82">
        <f>IF($B85=AP$20,'OBC Cost _Van Oord 2022'!$E$30,0)</f>
        <v>0</v>
      </c>
      <c r="Y85" s="38">
        <f t="shared" si="37"/>
        <v>0</v>
      </c>
      <c r="Z85" s="38"/>
      <c r="AA85" s="38"/>
      <c r="AB85" s="38"/>
      <c r="AC85" s="38"/>
      <c r="AD85" s="38"/>
      <c r="AE85" s="38"/>
      <c r="AF85" s="38"/>
      <c r="AG85" s="38"/>
      <c r="AH85" s="38"/>
      <c r="AI85" s="38"/>
      <c r="AJ85" s="38"/>
      <c r="AK85" s="38"/>
      <c r="AL85" s="38"/>
      <c r="AM85" s="38"/>
      <c r="AN85" s="38"/>
      <c r="AO85" s="38"/>
      <c r="AP85" s="38"/>
      <c r="AQ85" s="45">
        <f t="shared" si="102"/>
        <v>0</v>
      </c>
      <c r="AR85" s="45"/>
      <c r="AS85" s="46">
        <f t="shared" si="111"/>
        <v>0</v>
      </c>
      <c r="AT85" s="41">
        <f t="shared" si="112"/>
        <v>0</v>
      </c>
      <c r="AU85" s="41">
        <f t="shared" si="113"/>
        <v>0</v>
      </c>
      <c r="AV85" s="47"/>
      <c r="AW85" s="47"/>
      <c r="AX85" s="47"/>
      <c r="AY85" s="47"/>
      <c r="AZ85" s="47"/>
      <c r="BA85" s="47"/>
      <c r="BB85" s="47"/>
      <c r="BC85" s="47"/>
      <c r="BD85" s="47"/>
      <c r="BE85" s="47"/>
      <c r="BF85" s="47"/>
      <c r="BG85" s="47"/>
      <c r="BH85" s="47"/>
      <c r="BI85" s="47"/>
      <c r="BJ85" s="47"/>
      <c r="BK85" s="47"/>
      <c r="BL85" s="47"/>
      <c r="BM85" s="47">
        <f t="shared" si="96"/>
        <v>0</v>
      </c>
      <c r="BN85" s="92">
        <f t="shared" si="114"/>
        <v>0</v>
      </c>
      <c r="BO85" s="82">
        <f>IF($B85=BQ$20,'Construction Costs_2022'!$K$84+'Construction Costs_2022'!$K$7,0)</f>
        <v>0</v>
      </c>
      <c r="BP85" s="38">
        <f t="shared" si="115"/>
        <v>0</v>
      </c>
      <c r="BQ85" s="38"/>
      <c r="BR85" s="45"/>
      <c r="BS85" s="46">
        <f t="shared" si="97"/>
        <v>0</v>
      </c>
      <c r="BT85" s="41">
        <f t="shared" si="20"/>
        <v>0</v>
      </c>
      <c r="BU85" s="41">
        <f t="shared" si="20"/>
        <v>0</v>
      </c>
      <c r="BV85" s="47">
        <f t="shared" si="20"/>
        <v>0</v>
      </c>
      <c r="BW85" s="47">
        <f t="shared" si="20"/>
        <v>0</v>
      </c>
      <c r="BX85" s="92">
        <f t="shared" si="52"/>
        <v>0</v>
      </c>
      <c r="BY85" s="82">
        <f>IF($B85=CA$20,'Construction Costs_2022'!$K$104+'Construction Costs_2022'!$K$7,0)</f>
        <v>0</v>
      </c>
      <c r="BZ85" s="38">
        <f t="shared" si="116"/>
        <v>0</v>
      </c>
      <c r="CA85" s="38"/>
      <c r="CB85" s="45"/>
      <c r="CC85" s="46">
        <f t="shared" si="98"/>
        <v>0</v>
      </c>
      <c r="CD85" s="41">
        <f t="shared" si="23"/>
        <v>0</v>
      </c>
      <c r="CE85" s="41">
        <f t="shared" si="23"/>
        <v>0</v>
      </c>
      <c r="CF85" s="47">
        <f t="shared" si="23"/>
        <v>0</v>
      </c>
      <c r="CG85" s="47">
        <f t="shared" si="23"/>
        <v>0</v>
      </c>
      <c r="CH85" s="92">
        <f t="shared" si="53"/>
        <v>0</v>
      </c>
      <c r="CI85" s="82">
        <f>IF($B85=DA$20,'OBC Cost _Van Oord 2022'!$E$30,0)</f>
        <v>0</v>
      </c>
      <c r="CJ85" s="38">
        <f t="shared" si="54"/>
        <v>0</v>
      </c>
      <c r="CK85" s="38"/>
      <c r="CL85" s="38"/>
      <c r="CM85" s="38"/>
      <c r="CN85" s="38"/>
      <c r="CO85" s="38"/>
      <c r="CP85" s="38"/>
      <c r="CQ85" s="38"/>
      <c r="CR85" s="38"/>
      <c r="CS85" s="38"/>
      <c r="CT85" s="38"/>
      <c r="CU85" s="38"/>
      <c r="CV85" s="38"/>
      <c r="CW85" s="38"/>
      <c r="CX85" s="38"/>
      <c r="CY85" s="38"/>
      <c r="CZ85" s="38"/>
      <c r="DA85" s="38"/>
      <c r="DB85" s="45">
        <f t="shared" si="103"/>
        <v>0</v>
      </c>
      <c r="DC85" s="45"/>
      <c r="DD85" s="46">
        <f t="shared" si="117"/>
        <v>0</v>
      </c>
      <c r="DE85" s="41">
        <f t="shared" si="99"/>
        <v>0</v>
      </c>
      <c r="DF85" s="41">
        <f t="shared" si="27"/>
        <v>0</v>
      </c>
      <c r="DG85" s="47"/>
      <c r="DH85" s="47"/>
      <c r="DI85" s="47"/>
      <c r="DJ85" s="47"/>
      <c r="DK85" s="47"/>
      <c r="DL85" s="47"/>
      <c r="DM85" s="47"/>
      <c r="DN85" s="47"/>
      <c r="DO85" s="47"/>
      <c r="DP85" s="47"/>
      <c r="DQ85" s="47"/>
      <c r="DR85" s="47"/>
      <c r="DS85" s="47"/>
      <c r="DT85" s="47"/>
      <c r="DU85" s="47"/>
      <c r="DV85" s="47"/>
      <c r="DW85" s="47"/>
      <c r="DX85" s="47">
        <f t="shared" si="101"/>
        <v>0</v>
      </c>
      <c r="DY85" s="92">
        <f t="shared" si="118"/>
        <v>0</v>
      </c>
    </row>
    <row r="86" spans="2:129" s="3" customFormat="1" ht="12.75" x14ac:dyDescent="0.2">
      <c r="B86" s="12">
        <f t="shared" si="30"/>
        <v>61</v>
      </c>
      <c r="C86" s="13">
        <f t="shared" si="107"/>
        <v>0.14250678433934003</v>
      </c>
      <c r="D86" s="82">
        <f>IF($B86=F$20,'Construction Costs_2022'!$K$22+'Construction Costs_2022'!$K$7,0)</f>
        <v>0</v>
      </c>
      <c r="E86" s="38">
        <f t="shared" si="32"/>
        <v>28800</v>
      </c>
      <c r="F86" s="38"/>
      <c r="G86" s="45"/>
      <c r="H86" s="46">
        <f t="shared" si="108"/>
        <v>28800</v>
      </c>
      <c r="I86" s="41">
        <f t="shared" si="109"/>
        <v>0</v>
      </c>
      <c r="J86" s="41">
        <f t="shared" si="109"/>
        <v>4104.195388972993</v>
      </c>
      <c r="K86" s="47">
        <f t="shared" si="109"/>
        <v>0</v>
      </c>
      <c r="L86" s="47">
        <f t="shared" si="109"/>
        <v>0</v>
      </c>
      <c r="M86" s="92">
        <f t="shared" si="33"/>
        <v>4104.195388972993</v>
      </c>
      <c r="N86" s="91">
        <f>IF($B86=P$20,'Construction Costs_2022'!$K$43+'Construction Costs_2022'!$K$7,0)</f>
        <v>0</v>
      </c>
      <c r="O86" s="38">
        <f t="shared" si="34"/>
        <v>43200</v>
      </c>
      <c r="P86" s="38"/>
      <c r="Q86" s="45"/>
      <c r="R86" s="46">
        <f t="shared" si="110"/>
        <v>43200</v>
      </c>
      <c r="S86" s="41">
        <f t="shared" si="119"/>
        <v>0</v>
      </c>
      <c r="T86" s="41">
        <f t="shared" si="119"/>
        <v>6156.293083459489</v>
      </c>
      <c r="U86" s="47">
        <f t="shared" si="104"/>
        <v>0</v>
      </c>
      <c r="V86" s="47">
        <f t="shared" si="106"/>
        <v>0</v>
      </c>
      <c r="W86" s="92">
        <f t="shared" si="36"/>
        <v>6156.293083459489</v>
      </c>
      <c r="X86" s="82">
        <f>IF($B86=AP$20,'OBC Cost _Van Oord 2022'!$E$30,0)</f>
        <v>0</v>
      </c>
      <c r="Y86" s="38">
        <f t="shared" si="37"/>
        <v>0</v>
      </c>
      <c r="Z86" s="38"/>
      <c r="AA86" s="38"/>
      <c r="AB86" s="38"/>
      <c r="AC86" s="38"/>
      <c r="AD86" s="38"/>
      <c r="AE86" s="38"/>
      <c r="AF86" s="38"/>
      <c r="AG86" s="38"/>
      <c r="AH86" s="38"/>
      <c r="AI86" s="38"/>
      <c r="AJ86" s="38"/>
      <c r="AK86" s="38"/>
      <c r="AL86" s="38"/>
      <c r="AM86" s="38"/>
      <c r="AN86" s="38"/>
      <c r="AO86" s="38"/>
      <c r="AP86" s="38"/>
      <c r="AQ86" s="45">
        <f t="shared" si="102"/>
        <v>0</v>
      </c>
      <c r="AR86" s="45"/>
      <c r="AS86" s="46">
        <f t="shared" si="111"/>
        <v>0</v>
      </c>
      <c r="AT86" s="41">
        <f t="shared" si="112"/>
        <v>0</v>
      </c>
      <c r="AU86" s="41">
        <f t="shared" si="113"/>
        <v>0</v>
      </c>
      <c r="AV86" s="47"/>
      <c r="AW86" s="47"/>
      <c r="AX86" s="47"/>
      <c r="AY86" s="47"/>
      <c r="AZ86" s="47"/>
      <c r="BA86" s="47"/>
      <c r="BB86" s="47"/>
      <c r="BC86" s="47"/>
      <c r="BD86" s="47"/>
      <c r="BE86" s="47"/>
      <c r="BF86" s="47"/>
      <c r="BG86" s="47"/>
      <c r="BH86" s="47"/>
      <c r="BI86" s="47"/>
      <c r="BJ86" s="47"/>
      <c r="BK86" s="47"/>
      <c r="BL86" s="47"/>
      <c r="BM86" s="47">
        <f t="shared" si="96"/>
        <v>0</v>
      </c>
      <c r="BN86" s="92">
        <f t="shared" si="114"/>
        <v>0</v>
      </c>
      <c r="BO86" s="82">
        <f>IF($B86=BQ$20,'Construction Costs_2022'!$K$84+'Construction Costs_2022'!$K$7,0)</f>
        <v>0</v>
      </c>
      <c r="BP86" s="38">
        <f t="shared" si="115"/>
        <v>0</v>
      </c>
      <c r="BQ86" s="38"/>
      <c r="BR86" s="45"/>
      <c r="BS86" s="46">
        <f t="shared" si="97"/>
        <v>0</v>
      </c>
      <c r="BT86" s="41">
        <f t="shared" si="20"/>
        <v>0</v>
      </c>
      <c r="BU86" s="41">
        <f t="shared" si="20"/>
        <v>0</v>
      </c>
      <c r="BV86" s="47">
        <f t="shared" si="20"/>
        <v>0</v>
      </c>
      <c r="BW86" s="47">
        <f t="shared" si="20"/>
        <v>0</v>
      </c>
      <c r="BX86" s="92">
        <f t="shared" si="52"/>
        <v>0</v>
      </c>
      <c r="BY86" s="82">
        <f>IF($B86=CA$20,'Construction Costs_2022'!$K$104+'Construction Costs_2022'!$K$7,0)</f>
        <v>0</v>
      </c>
      <c r="BZ86" s="38">
        <f t="shared" si="116"/>
        <v>0</v>
      </c>
      <c r="CA86" s="38"/>
      <c r="CB86" s="45"/>
      <c r="CC86" s="46">
        <f t="shared" si="98"/>
        <v>0</v>
      </c>
      <c r="CD86" s="41">
        <f t="shared" si="23"/>
        <v>0</v>
      </c>
      <c r="CE86" s="41">
        <f t="shared" si="23"/>
        <v>0</v>
      </c>
      <c r="CF86" s="47">
        <f t="shared" si="23"/>
        <v>0</v>
      </c>
      <c r="CG86" s="47">
        <f t="shared" si="23"/>
        <v>0</v>
      </c>
      <c r="CH86" s="92">
        <f t="shared" si="53"/>
        <v>0</v>
      </c>
      <c r="CI86" s="82">
        <f>IF($B86=DA$20,'OBC Cost _Van Oord 2022'!$E$30,0)</f>
        <v>0</v>
      </c>
      <c r="CJ86" s="38">
        <f t="shared" si="54"/>
        <v>0</v>
      </c>
      <c r="CK86" s="38"/>
      <c r="CL86" s="38"/>
      <c r="CM86" s="38"/>
      <c r="CN86" s="38"/>
      <c r="CO86" s="38"/>
      <c r="CP86" s="38"/>
      <c r="CQ86" s="38"/>
      <c r="CR86" s="38"/>
      <c r="CS86" s="38"/>
      <c r="CT86" s="38"/>
      <c r="CU86" s="38"/>
      <c r="CV86" s="38"/>
      <c r="CW86" s="38"/>
      <c r="CX86" s="38"/>
      <c r="CY86" s="38"/>
      <c r="CZ86" s="38"/>
      <c r="DA86" s="38"/>
      <c r="DB86" s="45">
        <f t="shared" si="103"/>
        <v>0</v>
      </c>
      <c r="DC86" s="45"/>
      <c r="DD86" s="46">
        <f t="shared" si="117"/>
        <v>0</v>
      </c>
      <c r="DE86" s="41">
        <f t="shared" si="99"/>
        <v>0</v>
      </c>
      <c r="DF86" s="41">
        <f t="shared" si="27"/>
        <v>0</v>
      </c>
      <c r="DG86" s="47"/>
      <c r="DH86" s="47"/>
      <c r="DI86" s="47"/>
      <c r="DJ86" s="47"/>
      <c r="DK86" s="47"/>
      <c r="DL86" s="47"/>
      <c r="DM86" s="47"/>
      <c r="DN86" s="47"/>
      <c r="DO86" s="47"/>
      <c r="DP86" s="47"/>
      <c r="DQ86" s="47"/>
      <c r="DR86" s="47"/>
      <c r="DS86" s="47"/>
      <c r="DT86" s="47"/>
      <c r="DU86" s="47"/>
      <c r="DV86" s="47"/>
      <c r="DW86" s="47"/>
      <c r="DX86" s="47">
        <f t="shared" si="101"/>
        <v>0</v>
      </c>
      <c r="DY86" s="92">
        <f t="shared" si="118"/>
        <v>0</v>
      </c>
    </row>
    <row r="87" spans="2:129" s="3" customFormat="1" ht="12.75" x14ac:dyDescent="0.2">
      <c r="B87" s="12">
        <f t="shared" si="30"/>
        <v>62</v>
      </c>
      <c r="C87" s="13">
        <f t="shared" si="107"/>
        <v>0.13835610130033013</v>
      </c>
      <c r="D87" s="82">
        <f>IF($B87=F$20,'Construction Costs_2022'!$K$22+'Construction Costs_2022'!$K$7,0)</f>
        <v>0</v>
      </c>
      <c r="E87" s="38">
        <f t="shared" si="32"/>
        <v>1401900</v>
      </c>
      <c r="F87" s="38"/>
      <c r="G87" s="45"/>
      <c r="H87" s="46">
        <f t="shared" si="108"/>
        <v>1401900</v>
      </c>
      <c r="I87" s="41">
        <f t="shared" si="109"/>
        <v>0</v>
      </c>
      <c r="J87" s="41">
        <f t="shared" si="109"/>
        <v>193961.41841293281</v>
      </c>
      <c r="K87" s="47">
        <f t="shared" si="109"/>
        <v>0</v>
      </c>
      <c r="L87" s="47">
        <f t="shared" si="109"/>
        <v>0</v>
      </c>
      <c r="M87" s="92">
        <f t="shared" si="33"/>
        <v>193961.41841293281</v>
      </c>
      <c r="N87" s="91">
        <f>IF($B87=P$20,'Construction Costs_2022'!$K$43+'Construction Costs_2022'!$K$7,0)</f>
        <v>0</v>
      </c>
      <c r="O87" s="38">
        <f t="shared" si="34"/>
        <v>1307840</v>
      </c>
      <c r="P87" s="38"/>
      <c r="Q87" s="45"/>
      <c r="R87" s="46">
        <f t="shared" si="110"/>
        <v>1307840</v>
      </c>
      <c r="S87" s="41">
        <f t="shared" si="119"/>
        <v>0</v>
      </c>
      <c r="T87" s="41">
        <f t="shared" si="119"/>
        <v>180947.64352462377</v>
      </c>
      <c r="U87" s="47">
        <f t="shared" si="104"/>
        <v>0</v>
      </c>
      <c r="V87" s="47">
        <f t="shared" si="106"/>
        <v>0</v>
      </c>
      <c r="W87" s="92">
        <f t="shared" si="36"/>
        <v>180947.64352462377</v>
      </c>
      <c r="X87" s="82">
        <f>IF($B87=AP$20,'OBC Cost _Van Oord 2022'!$E$30,0)</f>
        <v>0</v>
      </c>
      <c r="Y87" s="38">
        <f t="shared" si="37"/>
        <v>1019280</v>
      </c>
      <c r="Z87" s="38"/>
      <c r="AA87" s="38"/>
      <c r="AB87" s="38"/>
      <c r="AC87" s="38"/>
      <c r="AD87" s="38"/>
      <c r="AE87" s="38"/>
      <c r="AF87" s="38"/>
      <c r="AG87" s="38"/>
      <c r="AH87" s="38"/>
      <c r="AI87" s="38"/>
      <c r="AJ87" s="38"/>
      <c r="AK87" s="38"/>
      <c r="AL87" s="38"/>
      <c r="AM87" s="38"/>
      <c r="AN87" s="38"/>
      <c r="AO87" s="38"/>
      <c r="AP87" s="38"/>
      <c r="AQ87" s="45">
        <f t="shared" si="102"/>
        <v>265012.8</v>
      </c>
      <c r="AR87" s="45"/>
      <c r="AS87" s="46">
        <f t="shared" si="111"/>
        <v>1284292.8</v>
      </c>
      <c r="AT87" s="41">
        <f t="shared" si="112"/>
        <v>0</v>
      </c>
      <c r="AU87" s="41">
        <f t="shared" si="113"/>
        <v>141023.6069334005</v>
      </c>
      <c r="AV87" s="47"/>
      <c r="AW87" s="47"/>
      <c r="AX87" s="47"/>
      <c r="AY87" s="47"/>
      <c r="AZ87" s="47"/>
      <c r="BA87" s="47"/>
      <c r="BB87" s="47"/>
      <c r="BC87" s="47"/>
      <c r="BD87" s="47"/>
      <c r="BE87" s="47"/>
      <c r="BF87" s="47"/>
      <c r="BG87" s="47"/>
      <c r="BH87" s="47"/>
      <c r="BI87" s="47"/>
      <c r="BJ87" s="47"/>
      <c r="BK87" s="47"/>
      <c r="BL87" s="47"/>
      <c r="BM87" s="47">
        <f t="shared" si="96"/>
        <v>36666.137802684127</v>
      </c>
      <c r="BN87" s="92">
        <f t="shared" si="114"/>
        <v>177689.74473608463</v>
      </c>
      <c r="BO87" s="82">
        <f>IF($B87=BQ$20,'Construction Costs_2022'!$K$84+'Construction Costs_2022'!$K$7,0)</f>
        <v>0</v>
      </c>
      <c r="BP87" s="38">
        <f t="shared" si="115"/>
        <v>975260</v>
      </c>
      <c r="BQ87" s="38"/>
      <c r="BR87" s="45"/>
      <c r="BS87" s="46">
        <f t="shared" si="97"/>
        <v>975260</v>
      </c>
      <c r="BT87" s="41">
        <f t="shared" si="20"/>
        <v>0</v>
      </c>
      <c r="BU87" s="41">
        <f t="shared" si="20"/>
        <v>134933.17135415997</v>
      </c>
      <c r="BV87" s="47">
        <f t="shared" si="20"/>
        <v>0</v>
      </c>
      <c r="BW87" s="47">
        <f t="shared" si="20"/>
        <v>0</v>
      </c>
      <c r="BX87" s="92">
        <f t="shared" si="52"/>
        <v>134933.17135415997</v>
      </c>
      <c r="BY87" s="82">
        <f>IF($B87=CA$20,'Construction Costs_2022'!$K$104+'Construction Costs_2022'!$K$7,0)</f>
        <v>0</v>
      </c>
      <c r="BZ87" s="38">
        <f t="shared" si="116"/>
        <v>1104320</v>
      </c>
      <c r="CA87" s="38"/>
      <c r="CB87" s="45"/>
      <c r="CC87" s="46">
        <f t="shared" si="98"/>
        <v>1104320</v>
      </c>
      <c r="CD87" s="41">
        <f t="shared" si="23"/>
        <v>0</v>
      </c>
      <c r="CE87" s="41">
        <f t="shared" si="23"/>
        <v>152789.40978798058</v>
      </c>
      <c r="CF87" s="47">
        <f t="shared" si="23"/>
        <v>0</v>
      </c>
      <c r="CG87" s="47">
        <f t="shared" si="23"/>
        <v>0</v>
      </c>
      <c r="CH87" s="92">
        <f t="shared" si="53"/>
        <v>152789.40978798058</v>
      </c>
      <c r="CI87" s="82">
        <f>IF($B87=DA$20,'OBC Cost _Van Oord 2022'!$E$30,0)</f>
        <v>0</v>
      </c>
      <c r="CJ87" s="38">
        <f t="shared" si="54"/>
        <v>301530</v>
      </c>
      <c r="CK87" s="38"/>
      <c r="CL87" s="38"/>
      <c r="CM87" s="38"/>
      <c r="CN87" s="38"/>
      <c r="CO87" s="38"/>
      <c r="CP87" s="38"/>
      <c r="CQ87" s="38"/>
      <c r="CR87" s="38"/>
      <c r="CS87" s="38"/>
      <c r="CT87" s="38"/>
      <c r="CU87" s="38"/>
      <c r="CV87" s="38"/>
      <c r="CW87" s="38"/>
      <c r="CX87" s="38"/>
      <c r="CY87" s="38"/>
      <c r="CZ87" s="38"/>
      <c r="DA87" s="38"/>
      <c r="DB87" s="45">
        <f t="shared" si="103"/>
        <v>90459</v>
      </c>
      <c r="DC87" s="45"/>
      <c r="DD87" s="46">
        <f t="shared" si="117"/>
        <v>391989</v>
      </c>
      <c r="DE87" s="41">
        <f t="shared" si="99"/>
        <v>0</v>
      </c>
      <c r="DF87" s="41">
        <f t="shared" si="27"/>
        <v>41718.515225088544</v>
      </c>
      <c r="DG87" s="47"/>
      <c r="DH87" s="47"/>
      <c r="DI87" s="47"/>
      <c r="DJ87" s="47"/>
      <c r="DK87" s="47"/>
      <c r="DL87" s="47"/>
      <c r="DM87" s="47"/>
      <c r="DN87" s="47"/>
      <c r="DO87" s="47"/>
      <c r="DP87" s="47"/>
      <c r="DQ87" s="47"/>
      <c r="DR87" s="47"/>
      <c r="DS87" s="47"/>
      <c r="DT87" s="47"/>
      <c r="DU87" s="47"/>
      <c r="DV87" s="47"/>
      <c r="DW87" s="47"/>
      <c r="DX87" s="47">
        <f t="shared" si="101"/>
        <v>12515.554567526564</v>
      </c>
      <c r="DY87" s="92">
        <f t="shared" si="118"/>
        <v>54234.069792615104</v>
      </c>
    </row>
    <row r="88" spans="2:129" s="3" customFormat="1" ht="12.75" x14ac:dyDescent="0.2">
      <c r="B88" s="12">
        <f t="shared" si="30"/>
        <v>63</v>
      </c>
      <c r="C88" s="13">
        <f t="shared" si="107"/>
        <v>0.13432631194206809</v>
      </c>
      <c r="D88" s="82">
        <f>IF($B88=F$20,'Construction Costs_2022'!$K$22+'Construction Costs_2022'!$K$7,0)</f>
        <v>0</v>
      </c>
      <c r="E88" s="38">
        <f t="shared" si="32"/>
        <v>28800</v>
      </c>
      <c r="F88" s="38"/>
      <c r="G88" s="45"/>
      <c r="H88" s="46">
        <f t="shared" si="108"/>
        <v>28800</v>
      </c>
      <c r="I88" s="41">
        <f t="shared" si="109"/>
        <v>0</v>
      </c>
      <c r="J88" s="41">
        <f t="shared" si="109"/>
        <v>3868.597783931561</v>
      </c>
      <c r="K88" s="47">
        <f t="shared" si="109"/>
        <v>0</v>
      </c>
      <c r="L88" s="47">
        <f t="shared" si="109"/>
        <v>0</v>
      </c>
      <c r="M88" s="92">
        <f t="shared" si="33"/>
        <v>3868.597783931561</v>
      </c>
      <c r="N88" s="91">
        <f>IF($B88=P$20,'Construction Costs_2022'!$K$43+'Construction Costs_2022'!$K$7,0)</f>
        <v>0</v>
      </c>
      <c r="O88" s="38">
        <f t="shared" si="34"/>
        <v>43200</v>
      </c>
      <c r="P88" s="38"/>
      <c r="Q88" s="45"/>
      <c r="R88" s="46">
        <f t="shared" si="110"/>
        <v>43200</v>
      </c>
      <c r="S88" s="41">
        <f t="shared" si="119"/>
        <v>0</v>
      </c>
      <c r="T88" s="41">
        <f t="shared" si="119"/>
        <v>5802.896675897342</v>
      </c>
      <c r="U88" s="47">
        <f t="shared" si="104"/>
        <v>0</v>
      </c>
      <c r="V88" s="47">
        <f t="shared" si="106"/>
        <v>0</v>
      </c>
      <c r="W88" s="92">
        <f t="shared" si="36"/>
        <v>5802.896675897342</v>
      </c>
      <c r="X88" s="82">
        <f>IF($B88=AP$20,'OBC Cost _Van Oord 2022'!$E$30,0)</f>
        <v>0</v>
      </c>
      <c r="Y88" s="38">
        <f t="shared" si="37"/>
        <v>0</v>
      </c>
      <c r="Z88" s="38"/>
      <c r="AA88" s="38"/>
      <c r="AB88" s="38"/>
      <c r="AC88" s="38"/>
      <c r="AD88" s="38"/>
      <c r="AE88" s="38"/>
      <c r="AF88" s="38"/>
      <c r="AG88" s="38"/>
      <c r="AH88" s="38"/>
      <c r="AI88" s="38"/>
      <c r="AJ88" s="38"/>
      <c r="AK88" s="38"/>
      <c r="AL88" s="38"/>
      <c r="AM88" s="38"/>
      <c r="AN88" s="38"/>
      <c r="AO88" s="38"/>
      <c r="AP88" s="38"/>
      <c r="AQ88" s="45">
        <f t="shared" si="102"/>
        <v>0</v>
      </c>
      <c r="AR88" s="45"/>
      <c r="AS88" s="46">
        <f t="shared" si="111"/>
        <v>0</v>
      </c>
      <c r="AT88" s="41">
        <f t="shared" si="112"/>
        <v>0</v>
      </c>
      <c r="AU88" s="41">
        <f t="shared" si="113"/>
        <v>0</v>
      </c>
      <c r="AV88" s="47"/>
      <c r="AW88" s="47"/>
      <c r="AX88" s="47"/>
      <c r="AY88" s="47"/>
      <c r="AZ88" s="47"/>
      <c r="BA88" s="47"/>
      <c r="BB88" s="47"/>
      <c r="BC88" s="47"/>
      <c r="BD88" s="47"/>
      <c r="BE88" s="47"/>
      <c r="BF88" s="47"/>
      <c r="BG88" s="47"/>
      <c r="BH88" s="47"/>
      <c r="BI88" s="47"/>
      <c r="BJ88" s="47"/>
      <c r="BK88" s="47"/>
      <c r="BL88" s="47"/>
      <c r="BM88" s="47">
        <f t="shared" si="96"/>
        <v>0</v>
      </c>
      <c r="BN88" s="92">
        <f t="shared" si="114"/>
        <v>0</v>
      </c>
      <c r="BO88" s="82">
        <f>IF($B88=BQ$20,'Construction Costs_2022'!$K$84+'Construction Costs_2022'!$K$7,0)</f>
        <v>0</v>
      </c>
      <c r="BP88" s="38">
        <f t="shared" si="115"/>
        <v>0</v>
      </c>
      <c r="BQ88" s="38"/>
      <c r="BR88" s="45"/>
      <c r="BS88" s="46">
        <f t="shared" si="97"/>
        <v>0</v>
      </c>
      <c r="BT88" s="41">
        <f t="shared" si="20"/>
        <v>0</v>
      </c>
      <c r="BU88" s="41">
        <f t="shared" si="20"/>
        <v>0</v>
      </c>
      <c r="BV88" s="47">
        <f t="shared" si="20"/>
        <v>0</v>
      </c>
      <c r="BW88" s="47">
        <f t="shared" ref="BW88:BW124" si="120">BR88*$C88</f>
        <v>0</v>
      </c>
      <c r="BX88" s="92">
        <f t="shared" si="52"/>
        <v>0</v>
      </c>
      <c r="BY88" s="82">
        <f>IF($B88=CA$20,'Construction Costs_2022'!$K$104+'Construction Costs_2022'!$K$7,0)</f>
        <v>0</v>
      </c>
      <c r="BZ88" s="38">
        <f t="shared" si="116"/>
        <v>0</v>
      </c>
      <c r="CA88" s="38"/>
      <c r="CB88" s="45"/>
      <c r="CC88" s="46">
        <f t="shared" si="98"/>
        <v>0</v>
      </c>
      <c r="CD88" s="41">
        <f t="shared" si="23"/>
        <v>0</v>
      </c>
      <c r="CE88" s="41">
        <f t="shared" si="23"/>
        <v>0</v>
      </c>
      <c r="CF88" s="47">
        <f t="shared" si="23"/>
        <v>0</v>
      </c>
      <c r="CG88" s="47">
        <f t="shared" ref="CG88:CG124" si="121">CB88*$C88</f>
        <v>0</v>
      </c>
      <c r="CH88" s="92">
        <f t="shared" si="53"/>
        <v>0</v>
      </c>
      <c r="CI88" s="82">
        <f>IF($B88=DA$20,'OBC Cost _Van Oord 2022'!$E$30,0)</f>
        <v>0</v>
      </c>
      <c r="CJ88" s="38">
        <f t="shared" si="54"/>
        <v>0</v>
      </c>
      <c r="CK88" s="38"/>
      <c r="CL88" s="38"/>
      <c r="CM88" s="38"/>
      <c r="CN88" s="38"/>
      <c r="CO88" s="38"/>
      <c r="CP88" s="38"/>
      <c r="CQ88" s="38"/>
      <c r="CR88" s="38"/>
      <c r="CS88" s="38"/>
      <c r="CT88" s="38"/>
      <c r="CU88" s="38"/>
      <c r="CV88" s="38"/>
      <c r="CW88" s="38"/>
      <c r="CX88" s="38"/>
      <c r="CY88" s="38"/>
      <c r="CZ88" s="38"/>
      <c r="DA88" s="38"/>
      <c r="DB88" s="45">
        <f t="shared" si="103"/>
        <v>0</v>
      </c>
      <c r="DC88" s="45"/>
      <c r="DD88" s="46">
        <f t="shared" si="117"/>
        <v>0</v>
      </c>
      <c r="DE88" s="41">
        <f t="shared" si="99"/>
        <v>0</v>
      </c>
      <c r="DF88" s="41">
        <f t="shared" si="27"/>
        <v>0</v>
      </c>
      <c r="DG88" s="47"/>
      <c r="DH88" s="47"/>
      <c r="DI88" s="47"/>
      <c r="DJ88" s="47"/>
      <c r="DK88" s="47"/>
      <c r="DL88" s="47"/>
      <c r="DM88" s="47"/>
      <c r="DN88" s="47"/>
      <c r="DO88" s="47"/>
      <c r="DP88" s="47"/>
      <c r="DQ88" s="47"/>
      <c r="DR88" s="47"/>
      <c r="DS88" s="47"/>
      <c r="DT88" s="47"/>
      <c r="DU88" s="47"/>
      <c r="DV88" s="47"/>
      <c r="DW88" s="47"/>
      <c r="DX88" s="47">
        <f t="shared" si="101"/>
        <v>0</v>
      </c>
      <c r="DY88" s="92">
        <f t="shared" si="118"/>
        <v>0</v>
      </c>
    </row>
    <row r="89" spans="2:129" s="3" customFormat="1" ht="12.75" x14ac:dyDescent="0.2">
      <c r="B89" s="12">
        <f t="shared" si="30"/>
        <v>64</v>
      </c>
      <c r="C89" s="13">
        <f t="shared" si="107"/>
        <v>0.1304138950893865</v>
      </c>
      <c r="D89" s="82">
        <f>IF($B89=F$20,'Construction Costs_2022'!$K$22+'Construction Costs_2022'!$K$7,0)</f>
        <v>0</v>
      </c>
      <c r="E89" s="38">
        <f t="shared" si="32"/>
        <v>28800</v>
      </c>
      <c r="F89" s="38"/>
      <c r="G89" s="45"/>
      <c r="H89" s="46">
        <f t="shared" si="108"/>
        <v>28800</v>
      </c>
      <c r="I89" s="41">
        <f t="shared" ref="I89:L124" si="122">D89*$C89</f>
        <v>0</v>
      </c>
      <c r="J89" s="41">
        <f t="shared" si="122"/>
        <v>3755.9201785743312</v>
      </c>
      <c r="K89" s="47">
        <f t="shared" si="122"/>
        <v>0</v>
      </c>
      <c r="L89" s="47">
        <f t="shared" si="122"/>
        <v>0</v>
      </c>
      <c r="M89" s="92">
        <f t="shared" si="33"/>
        <v>3755.9201785743312</v>
      </c>
      <c r="N89" s="91">
        <f>IF($B89=P$20,'Construction Costs_2022'!$K$43+'Construction Costs_2022'!$K$7,0)</f>
        <v>0</v>
      </c>
      <c r="O89" s="38">
        <f t="shared" si="34"/>
        <v>43200</v>
      </c>
      <c r="P89" s="38"/>
      <c r="Q89" s="45"/>
      <c r="R89" s="46">
        <f t="shared" si="110"/>
        <v>43200</v>
      </c>
      <c r="S89" s="41">
        <f t="shared" si="119"/>
        <v>0</v>
      </c>
      <c r="T89" s="41">
        <f t="shared" si="119"/>
        <v>5633.8802678614966</v>
      </c>
      <c r="U89" s="47">
        <f t="shared" si="104"/>
        <v>0</v>
      </c>
      <c r="V89" s="47">
        <f t="shared" si="106"/>
        <v>0</v>
      </c>
      <c r="W89" s="92">
        <f t="shared" si="36"/>
        <v>5633.8802678614966</v>
      </c>
      <c r="X89" s="82">
        <f>IF($B89=AP$20,'OBC Cost _Van Oord 2022'!$E$30,0)</f>
        <v>0</v>
      </c>
      <c r="Y89" s="38">
        <f t="shared" si="37"/>
        <v>0</v>
      </c>
      <c r="Z89" s="38"/>
      <c r="AA89" s="38"/>
      <c r="AB89" s="38"/>
      <c r="AC89" s="38"/>
      <c r="AD89" s="38"/>
      <c r="AE89" s="38"/>
      <c r="AF89" s="38"/>
      <c r="AG89" s="38"/>
      <c r="AH89" s="38"/>
      <c r="AI89" s="38"/>
      <c r="AJ89" s="38"/>
      <c r="AK89" s="38"/>
      <c r="AL89" s="38"/>
      <c r="AM89" s="38"/>
      <c r="AN89" s="38"/>
      <c r="AO89" s="38"/>
      <c r="AP89" s="38"/>
      <c r="AQ89" s="45">
        <f t="shared" si="102"/>
        <v>0</v>
      </c>
      <c r="AR89" s="45"/>
      <c r="AS89" s="46">
        <f t="shared" ref="AS89:AS120" si="123">SUM(X89:AR89)</f>
        <v>0</v>
      </c>
      <c r="AT89" s="41">
        <f t="shared" ref="AT89:AT124" si="124">X89*$C89</f>
        <v>0</v>
      </c>
      <c r="AU89" s="41">
        <f t="shared" ref="AU89:AU124" si="125">Y89*$C89</f>
        <v>0</v>
      </c>
      <c r="AV89" s="47"/>
      <c r="AW89" s="47"/>
      <c r="AX89" s="47"/>
      <c r="AY89" s="47"/>
      <c r="AZ89" s="47"/>
      <c r="BA89" s="47"/>
      <c r="BB89" s="47"/>
      <c r="BC89" s="47"/>
      <c r="BD89" s="47"/>
      <c r="BE89" s="47"/>
      <c r="BF89" s="47"/>
      <c r="BG89" s="47"/>
      <c r="BH89" s="47"/>
      <c r="BI89" s="47"/>
      <c r="BJ89" s="47"/>
      <c r="BK89" s="47"/>
      <c r="BL89" s="47"/>
      <c r="BM89" s="47">
        <f t="shared" si="96"/>
        <v>0</v>
      </c>
      <c r="BN89" s="92">
        <f t="shared" ref="BN89:BN120" si="126">SUM(AT89:BM89)</f>
        <v>0</v>
      </c>
      <c r="BO89" s="82">
        <f>IF($B89=BQ$20,'Construction Costs_2022'!$K$84+'Construction Costs_2022'!$K$7,0)</f>
        <v>0</v>
      </c>
      <c r="BP89" s="38">
        <f t="shared" ref="BP89:BP120" si="127">IF(BO89&gt;0,0,SUM(IF(AND(MOD(($B89-BQ$20),BQ$12)=0,$B89&gt;F$20),BR$12,0)+IF(AND(MOD(($B89-F$20),BQ$13)=0,$B89&gt;=F$20),BR$13,0)+IF(AND(MOD(($B89-F$20),BQ$16)=0,$B89&gt;=F$20),BR$16,0)+IF(AND(MOD(($B89-F$20),BQ$17)=0,$B89&gt;=F$20),BR$17,0)+IF(AND(MOD(($B89-F$20),BQ$18)=0,$B89&gt;=F$20),BR$18,0)+IF(AND(MOD(($B89-F$20),BQ$19)=0,$B89&gt;=F$20),BR$19,0)))</f>
        <v>0</v>
      </c>
      <c r="BQ89" s="38"/>
      <c r="BR89" s="45"/>
      <c r="BS89" s="46">
        <f t="shared" si="97"/>
        <v>0</v>
      </c>
      <c r="BT89" s="41">
        <f t="shared" ref="BT89:BV124" si="128">BO89*$C89</f>
        <v>0</v>
      </c>
      <c r="BU89" s="41">
        <f t="shared" si="128"/>
        <v>0</v>
      </c>
      <c r="BV89" s="47">
        <f t="shared" si="128"/>
        <v>0</v>
      </c>
      <c r="BW89" s="47">
        <f t="shared" si="120"/>
        <v>0</v>
      </c>
      <c r="BX89" s="92">
        <f t="shared" si="52"/>
        <v>0</v>
      </c>
      <c r="BY89" s="82">
        <f>IF($B89=CA$20,'Construction Costs_2022'!$K$104+'Construction Costs_2022'!$K$7,0)</f>
        <v>0</v>
      </c>
      <c r="BZ89" s="38">
        <f t="shared" ref="BZ89:BZ120" si="129">IF(BY89&gt;0,0,SUM(IF(AND(MOD(($B89-CA$20),CA$12)=0,$B89&gt;F$20),CB$12,0)+IF(AND(MOD(($B89-F$20),CA$13)=0,$B89&gt;=F$20),CB$13,0)+IF(AND(MOD(($B89-F$20),CA$16)=0,$B89&gt;=F$20),CB$16,0)+IF(AND(MOD(($B89-F$20),CA$17)=0,$B89&gt;=F$20),CB$17,0)+IF(AND(MOD(($B89-F$20),CA$18)=0,$B89&gt;=F$20),CB$18,0)+IF(AND(MOD(($B89-F$20),CA$19)=0,$B89&gt;=F$20),CB$19,0)))</f>
        <v>0</v>
      </c>
      <c r="CA89" s="38"/>
      <c r="CB89" s="45"/>
      <c r="CC89" s="46">
        <f t="shared" si="98"/>
        <v>0</v>
      </c>
      <c r="CD89" s="41">
        <f t="shared" ref="CD89:CF124" si="130">BY89*$C89</f>
        <v>0</v>
      </c>
      <c r="CE89" s="41">
        <f t="shared" si="130"/>
        <v>0</v>
      </c>
      <c r="CF89" s="47">
        <f t="shared" si="130"/>
        <v>0</v>
      </c>
      <c r="CG89" s="47">
        <f t="shared" si="121"/>
        <v>0</v>
      </c>
      <c r="CH89" s="92">
        <f t="shared" si="53"/>
        <v>0</v>
      </c>
      <c r="CI89" s="82">
        <f>IF($B89=DA$20,'OBC Cost _Van Oord 2022'!$E$30,0)</f>
        <v>0</v>
      </c>
      <c r="CJ89" s="38">
        <f t="shared" si="54"/>
        <v>0</v>
      </c>
      <c r="CK89" s="38"/>
      <c r="CL89" s="38"/>
      <c r="CM89" s="38"/>
      <c r="CN89" s="38"/>
      <c r="CO89" s="38"/>
      <c r="CP89" s="38"/>
      <c r="CQ89" s="38"/>
      <c r="CR89" s="38"/>
      <c r="CS89" s="38"/>
      <c r="CT89" s="38"/>
      <c r="CU89" s="38"/>
      <c r="CV89" s="38"/>
      <c r="CW89" s="38"/>
      <c r="CX89" s="38"/>
      <c r="CY89" s="38"/>
      <c r="CZ89" s="38"/>
      <c r="DA89" s="38"/>
      <c r="DB89" s="45">
        <f t="shared" si="103"/>
        <v>0</v>
      </c>
      <c r="DC89" s="45"/>
      <c r="DD89" s="46">
        <f t="shared" si="117"/>
        <v>0</v>
      </c>
      <c r="DE89" s="41">
        <f t="shared" si="99"/>
        <v>0</v>
      </c>
      <c r="DF89" s="41">
        <f t="shared" ref="DF89:DF124" si="131">CJ89*$C89</f>
        <v>0</v>
      </c>
      <c r="DG89" s="47"/>
      <c r="DH89" s="47"/>
      <c r="DI89" s="47"/>
      <c r="DJ89" s="47"/>
      <c r="DK89" s="47"/>
      <c r="DL89" s="47"/>
      <c r="DM89" s="47"/>
      <c r="DN89" s="47"/>
      <c r="DO89" s="47"/>
      <c r="DP89" s="47"/>
      <c r="DQ89" s="47"/>
      <c r="DR89" s="47"/>
      <c r="DS89" s="47"/>
      <c r="DT89" s="47"/>
      <c r="DU89" s="47"/>
      <c r="DV89" s="47"/>
      <c r="DW89" s="47"/>
      <c r="DX89" s="47">
        <f t="shared" si="101"/>
        <v>0</v>
      </c>
      <c r="DY89" s="92">
        <f t="shared" si="118"/>
        <v>0</v>
      </c>
    </row>
    <row r="90" spans="2:129" s="3" customFormat="1" ht="12.75" x14ac:dyDescent="0.2">
      <c r="B90" s="12">
        <f t="shared" ref="B90:B124" si="132">B89+1</f>
        <v>65</v>
      </c>
      <c r="C90" s="13">
        <f t="shared" si="107"/>
        <v>0.12661543212561796</v>
      </c>
      <c r="D90" s="82">
        <f>IF($B90=F$20,'Construction Costs_2022'!$K$22+'Construction Costs_2022'!$K$7,0)</f>
        <v>0</v>
      </c>
      <c r="E90" s="38">
        <f t="shared" ref="E90:E124" si="133">IF(D90&gt;0,0,SUM(IF(AND(MOD(($B90-F$20),F$13)=0,$B90&gt;=F$20),G$13,0)+IF(AND(MOD(($B90-F$20),F$14)=0,$B90&gt;=F$20),G$14,0)+IF(AND(MOD(($B90-F$20),F$15)=0,$B90&gt;=F$20),G$15,0)+IF(AND(MOD(($B90-F$20),F$16)=0,$B90&gt;=F$20),G$16,0)+IF(AND(MOD(($B90-F$20),F$17)=0,$B90&gt;=F$20),G$17,0)+IF(AND(MOD(($B90-F$20),F$18)=0,$B90&gt;=F$20),G$18,0)+IF(AND(MOD(($B90-F$20),F$19)=0,$B90&gt;=F$20),G$19,0)))</f>
        <v>28800</v>
      </c>
      <c r="F90" s="38"/>
      <c r="G90" s="45"/>
      <c r="H90" s="46">
        <f t="shared" si="108"/>
        <v>28800</v>
      </c>
      <c r="I90" s="41">
        <f t="shared" si="122"/>
        <v>0</v>
      </c>
      <c r="J90" s="41">
        <f t="shared" si="122"/>
        <v>3646.5244452177972</v>
      </c>
      <c r="K90" s="47">
        <f t="shared" si="122"/>
        <v>0</v>
      </c>
      <c r="L90" s="47">
        <f t="shared" si="122"/>
        <v>0</v>
      </c>
      <c r="M90" s="92">
        <f t="shared" ref="M90:M124" si="134">SUM(I90:L90)</f>
        <v>3646.5244452177972</v>
      </c>
      <c r="N90" s="91">
        <f>IF($B90=P$20,'Construction Costs_2022'!$K$43+'Construction Costs_2022'!$K$7,0)</f>
        <v>0</v>
      </c>
      <c r="O90" s="38">
        <f t="shared" ref="O90:O124" si="135">IF(N90&gt;0,0,SUM(IF(AND(MOD(($B90-P$20),P$13)=0,$B90&gt;=P$20),Q$13,0)+IF(AND(MOD(($B90-P$20),P$14)=0,$B90&gt;=P$20),Q$14,0)+IF(AND(MOD(($B90-P$20),P$15)=0,$B90&gt;=P$20),Q$15,0)+IF(AND(MOD(($B90-P$20),P$16)=0,$B90&gt;=P$20),Q$16,0)+IF(AND(MOD(($B90-P$20),P$17)=0,$B90&gt;=P$20),Q$17,0)+IF(AND(MOD(($B90-P$20),P$18)=0,$B90&gt;=P$20),Q$18,0)+IF(AND(MOD(($B90-P$20),P$19)=0,$B90&gt;=P$20),Q$19,0)))</f>
        <v>43200</v>
      </c>
      <c r="P90" s="38"/>
      <c r="Q90" s="45"/>
      <c r="R90" s="46">
        <f t="shared" si="110"/>
        <v>43200</v>
      </c>
      <c r="S90" s="41">
        <f t="shared" si="119"/>
        <v>0</v>
      </c>
      <c r="T90" s="41">
        <f t="shared" si="119"/>
        <v>5469.7866678266955</v>
      </c>
      <c r="U90" s="47">
        <f t="shared" si="104"/>
        <v>0</v>
      </c>
      <c r="V90" s="47">
        <f t="shared" si="106"/>
        <v>0</v>
      </c>
      <c r="W90" s="92">
        <f t="shared" ref="W90:W124" si="136">SUM(S90:V90)</f>
        <v>5469.7866678266955</v>
      </c>
      <c r="X90" s="82">
        <f>IF($B90=AP$20,'OBC Cost _Van Oord 2022'!$E$30,0)</f>
        <v>0</v>
      </c>
      <c r="Y90" s="38">
        <f t="shared" ref="Y90:Y124" si="137">IF(X90&gt;0,0,SUM(IF(AND(MOD(($B90-AP$20),AP$13)=0,$B90&gt;=AP$20),AR$13,0)+IF(AND(MOD(($B90-AP$20),AP$14)=0,$B90&gt;=AP$20),AR$14,0)+IF(AND(MOD(($B90-AP$20),AP$15)=0,$B90&gt;=AP$20),AR$15,0)+IF(AND(MOD(($B90-AP$20),AP$16)=0,$B90&gt;=AP$20),AR$16,0)+IF(AND(MOD(($B90-AP$20),AP$17)=0,$B90&gt;=AP$20),AR$17,0)+IF(AND(MOD(($B90-AP$20),AP$18)=0,$B90&gt;=AP$20),AR$18,0)+IF(AND(MOD(($B90-AP$20),AP$19)=0,$B90&gt;=AP$20),AR$19,0)))</f>
        <v>0</v>
      </c>
      <c r="Z90" s="38"/>
      <c r="AA90" s="38"/>
      <c r="AB90" s="38"/>
      <c r="AC90" s="38"/>
      <c r="AD90" s="38"/>
      <c r="AE90" s="38"/>
      <c r="AF90" s="38"/>
      <c r="AG90" s="38"/>
      <c r="AH90" s="38"/>
      <c r="AI90" s="38"/>
      <c r="AJ90" s="38"/>
      <c r="AK90" s="38"/>
      <c r="AL90" s="38"/>
      <c r="AM90" s="38"/>
      <c r="AN90" s="38"/>
      <c r="AO90" s="38"/>
      <c r="AP90" s="38"/>
      <c r="AQ90" s="45">
        <f t="shared" si="102"/>
        <v>0</v>
      </c>
      <c r="AR90" s="45"/>
      <c r="AS90" s="46">
        <f t="shared" si="123"/>
        <v>0</v>
      </c>
      <c r="AT90" s="41">
        <f t="shared" si="124"/>
        <v>0</v>
      </c>
      <c r="AU90" s="41">
        <f t="shared" si="125"/>
        <v>0</v>
      </c>
      <c r="AV90" s="47"/>
      <c r="AW90" s="47"/>
      <c r="AX90" s="47"/>
      <c r="AY90" s="47"/>
      <c r="AZ90" s="47"/>
      <c r="BA90" s="47"/>
      <c r="BB90" s="47"/>
      <c r="BC90" s="47"/>
      <c r="BD90" s="47"/>
      <c r="BE90" s="47"/>
      <c r="BF90" s="47"/>
      <c r="BG90" s="47"/>
      <c r="BH90" s="47"/>
      <c r="BI90" s="47"/>
      <c r="BJ90" s="47"/>
      <c r="BK90" s="47"/>
      <c r="BL90" s="47"/>
      <c r="BM90" s="47">
        <f t="shared" si="96"/>
        <v>0</v>
      </c>
      <c r="BN90" s="92">
        <f t="shared" si="126"/>
        <v>0</v>
      </c>
      <c r="BO90" s="82">
        <f>IF($B90=BQ$20,'Construction Costs_2022'!$K$84+'Construction Costs_2022'!$K$7,0)</f>
        <v>0</v>
      </c>
      <c r="BP90" s="38">
        <f t="shared" si="127"/>
        <v>0</v>
      </c>
      <c r="BQ90" s="38"/>
      <c r="BR90" s="45"/>
      <c r="BS90" s="46">
        <f t="shared" si="97"/>
        <v>0</v>
      </c>
      <c r="BT90" s="41">
        <f t="shared" si="128"/>
        <v>0</v>
      </c>
      <c r="BU90" s="41">
        <f t="shared" si="128"/>
        <v>0</v>
      </c>
      <c r="BV90" s="47">
        <f t="shared" si="128"/>
        <v>0</v>
      </c>
      <c r="BW90" s="47">
        <f t="shared" si="120"/>
        <v>0</v>
      </c>
      <c r="BX90" s="92">
        <f t="shared" ref="BX90:BX124" si="138">SUM(BT90:BW90)</f>
        <v>0</v>
      </c>
      <c r="BY90" s="82">
        <f>IF($B90=CA$20,'Construction Costs_2022'!$K$104+'Construction Costs_2022'!$K$7,0)</f>
        <v>0</v>
      </c>
      <c r="BZ90" s="38">
        <f t="shared" si="129"/>
        <v>0</v>
      </c>
      <c r="CA90" s="38"/>
      <c r="CB90" s="45"/>
      <c r="CC90" s="46">
        <f t="shared" si="98"/>
        <v>0</v>
      </c>
      <c r="CD90" s="41">
        <f t="shared" si="130"/>
        <v>0</v>
      </c>
      <c r="CE90" s="41">
        <f t="shared" si="130"/>
        <v>0</v>
      </c>
      <c r="CF90" s="47">
        <f t="shared" si="130"/>
        <v>0</v>
      </c>
      <c r="CG90" s="47">
        <f t="shared" si="121"/>
        <v>0</v>
      </c>
      <c r="CH90" s="92">
        <f t="shared" ref="CH90:CH124" si="139">SUM(CD90:CG90)</f>
        <v>0</v>
      </c>
      <c r="CI90" s="82">
        <f>IF($B90=DA$20,'OBC Cost _Van Oord 2022'!$E$30,0)</f>
        <v>0</v>
      </c>
      <c r="CJ90" s="38">
        <f t="shared" ref="CJ90:CJ124" si="140">IF(CI90&gt;0,0,SUM(IF(AND(MOD(($B90-DA$20),DA$13)=0,$B90&gt;=DA$20),DC$13,0)+IF(AND(MOD(($B90-DA$20),DA$14)=0,$B90&gt;=DA$20),DC$14,0)+IF(AND(MOD(($B90-DA$20),DA$15)=0,$B90&gt;=DA$20),DC$15,0)+IF(AND(MOD(($B90-DA$20),DA$16)=0,$B90&gt;=DA$20),DC$16,0)+IF(AND(MOD(($B90-DA$20),DA$17)=0,$B90&gt;=DA$20),DC$17,0)+IF(AND(MOD(($B90-DA$20),DA$18)=0,$B90&gt;=DA$20),DC$18,0)+IF(AND(MOD(($B90-DA$20),DA$19)=0,$B90&gt;=DA$20),DC$19,0)))</f>
        <v>0</v>
      </c>
      <c r="CK90" s="38"/>
      <c r="CL90" s="38"/>
      <c r="CM90" s="38"/>
      <c r="CN90" s="38"/>
      <c r="CO90" s="38"/>
      <c r="CP90" s="38"/>
      <c r="CQ90" s="38"/>
      <c r="CR90" s="38"/>
      <c r="CS90" s="38"/>
      <c r="CT90" s="38"/>
      <c r="CU90" s="38"/>
      <c r="CV90" s="38"/>
      <c r="CW90" s="38"/>
      <c r="CX90" s="38"/>
      <c r="CY90" s="38"/>
      <c r="CZ90" s="38"/>
      <c r="DA90" s="38"/>
      <c r="DB90" s="45">
        <f t="shared" si="103"/>
        <v>0</v>
      </c>
      <c r="DC90" s="45"/>
      <c r="DD90" s="46">
        <f t="shared" si="117"/>
        <v>0</v>
      </c>
      <c r="DE90" s="41">
        <f t="shared" si="99"/>
        <v>0</v>
      </c>
      <c r="DF90" s="41">
        <f t="shared" si="131"/>
        <v>0</v>
      </c>
      <c r="DG90" s="47"/>
      <c r="DH90" s="47"/>
      <c r="DI90" s="47"/>
      <c r="DJ90" s="47"/>
      <c r="DK90" s="47"/>
      <c r="DL90" s="47"/>
      <c r="DM90" s="47"/>
      <c r="DN90" s="47"/>
      <c r="DO90" s="47"/>
      <c r="DP90" s="47"/>
      <c r="DQ90" s="47"/>
      <c r="DR90" s="47"/>
      <c r="DS90" s="47"/>
      <c r="DT90" s="47"/>
      <c r="DU90" s="47"/>
      <c r="DV90" s="47"/>
      <c r="DW90" s="47"/>
      <c r="DX90" s="47">
        <f t="shared" si="101"/>
        <v>0</v>
      </c>
      <c r="DY90" s="92">
        <f t="shared" si="118"/>
        <v>0</v>
      </c>
    </row>
    <row r="91" spans="2:129" s="3" customFormat="1" ht="12.75" x14ac:dyDescent="0.2">
      <c r="B91" s="12">
        <f t="shared" si="132"/>
        <v>66</v>
      </c>
      <c r="C91" s="13">
        <f t="shared" si="107"/>
        <v>0.12292760400545433</v>
      </c>
      <c r="D91" s="82">
        <f>IF($B91=F$20,'Construction Costs_2022'!$K$22+'Construction Costs_2022'!$K$7,0)</f>
        <v>0</v>
      </c>
      <c r="E91" s="38">
        <f t="shared" si="133"/>
        <v>28800</v>
      </c>
      <c r="F91" s="38"/>
      <c r="G91" s="45"/>
      <c r="H91" s="46">
        <f t="shared" si="108"/>
        <v>28800</v>
      </c>
      <c r="I91" s="41">
        <f t="shared" si="122"/>
        <v>0</v>
      </c>
      <c r="J91" s="41">
        <f t="shared" si="122"/>
        <v>3540.3149953570846</v>
      </c>
      <c r="K91" s="47">
        <f t="shared" si="122"/>
        <v>0</v>
      </c>
      <c r="L91" s="47">
        <f t="shared" si="122"/>
        <v>0</v>
      </c>
      <c r="M91" s="92">
        <f t="shared" si="134"/>
        <v>3540.3149953570846</v>
      </c>
      <c r="N91" s="91">
        <f>IF($B91=P$20,'Construction Costs_2022'!$K$43+'Construction Costs_2022'!$K$7,0)</f>
        <v>0</v>
      </c>
      <c r="O91" s="38">
        <f t="shared" si="135"/>
        <v>43200</v>
      </c>
      <c r="P91" s="38"/>
      <c r="Q91" s="45"/>
      <c r="R91" s="46">
        <f t="shared" si="110"/>
        <v>43200</v>
      </c>
      <c r="S91" s="41">
        <f t="shared" si="119"/>
        <v>0</v>
      </c>
      <c r="T91" s="41">
        <f t="shared" si="119"/>
        <v>5310.4724930356269</v>
      </c>
      <c r="U91" s="47">
        <f t="shared" si="104"/>
        <v>0</v>
      </c>
      <c r="V91" s="47">
        <f t="shared" si="106"/>
        <v>0</v>
      </c>
      <c r="W91" s="92">
        <f t="shared" si="136"/>
        <v>5310.4724930356269</v>
      </c>
      <c r="X91" s="82">
        <f>IF($B91=AP$20,'OBC Cost _Van Oord 2022'!$E$30,0)</f>
        <v>0</v>
      </c>
      <c r="Y91" s="38">
        <f t="shared" si="137"/>
        <v>0</v>
      </c>
      <c r="Z91" s="38"/>
      <c r="AA91" s="38"/>
      <c r="AB91" s="38"/>
      <c r="AC91" s="38"/>
      <c r="AD91" s="38"/>
      <c r="AE91" s="38"/>
      <c r="AF91" s="38"/>
      <c r="AG91" s="38"/>
      <c r="AH91" s="38"/>
      <c r="AI91" s="38"/>
      <c r="AJ91" s="38"/>
      <c r="AK91" s="38"/>
      <c r="AL91" s="38"/>
      <c r="AM91" s="38"/>
      <c r="AN91" s="38"/>
      <c r="AO91" s="38"/>
      <c r="AP91" s="38"/>
      <c r="AQ91" s="45">
        <f t="shared" si="102"/>
        <v>0</v>
      </c>
      <c r="AR91" s="45"/>
      <c r="AS91" s="46">
        <f t="shared" si="123"/>
        <v>0</v>
      </c>
      <c r="AT91" s="41">
        <f t="shared" si="124"/>
        <v>0</v>
      </c>
      <c r="AU91" s="41">
        <f t="shared" si="125"/>
        <v>0</v>
      </c>
      <c r="AV91" s="47"/>
      <c r="AW91" s="47"/>
      <c r="AX91" s="47"/>
      <c r="AY91" s="47"/>
      <c r="AZ91" s="47"/>
      <c r="BA91" s="47"/>
      <c r="BB91" s="47"/>
      <c r="BC91" s="47"/>
      <c r="BD91" s="47"/>
      <c r="BE91" s="47"/>
      <c r="BF91" s="47"/>
      <c r="BG91" s="47"/>
      <c r="BH91" s="47"/>
      <c r="BI91" s="47"/>
      <c r="BJ91" s="47"/>
      <c r="BK91" s="47"/>
      <c r="BL91" s="47"/>
      <c r="BM91" s="47">
        <f t="shared" si="96"/>
        <v>0</v>
      </c>
      <c r="BN91" s="92">
        <f t="shared" si="126"/>
        <v>0</v>
      </c>
      <c r="BO91" s="82">
        <f>IF($B91=BQ$20,'Construction Costs_2022'!$K$84+'Construction Costs_2022'!$K$7,0)</f>
        <v>0</v>
      </c>
      <c r="BP91" s="38">
        <f t="shared" si="127"/>
        <v>0</v>
      </c>
      <c r="BQ91" s="38"/>
      <c r="BR91" s="45"/>
      <c r="BS91" s="46">
        <f t="shared" si="97"/>
        <v>0</v>
      </c>
      <c r="BT91" s="41">
        <f t="shared" si="128"/>
        <v>0</v>
      </c>
      <c r="BU91" s="41">
        <f t="shared" si="128"/>
        <v>0</v>
      </c>
      <c r="BV91" s="47">
        <f t="shared" si="128"/>
        <v>0</v>
      </c>
      <c r="BW91" s="47">
        <f t="shared" si="120"/>
        <v>0</v>
      </c>
      <c r="BX91" s="92">
        <f t="shared" si="138"/>
        <v>0</v>
      </c>
      <c r="BY91" s="82">
        <f>IF($B91=CA$20,'Construction Costs_2022'!$K$104+'Construction Costs_2022'!$K$7,0)</f>
        <v>0</v>
      </c>
      <c r="BZ91" s="38">
        <f t="shared" si="129"/>
        <v>0</v>
      </c>
      <c r="CA91" s="38"/>
      <c r="CB91" s="45"/>
      <c r="CC91" s="46">
        <f t="shared" si="98"/>
        <v>0</v>
      </c>
      <c r="CD91" s="41">
        <f t="shared" si="130"/>
        <v>0</v>
      </c>
      <c r="CE91" s="41">
        <f t="shared" si="130"/>
        <v>0</v>
      </c>
      <c r="CF91" s="47">
        <f t="shared" si="130"/>
        <v>0</v>
      </c>
      <c r="CG91" s="47">
        <f t="shared" si="121"/>
        <v>0</v>
      </c>
      <c r="CH91" s="92">
        <f t="shared" si="139"/>
        <v>0</v>
      </c>
      <c r="CI91" s="82">
        <f>IF($B91=DA$20,'OBC Cost _Van Oord 2022'!$E$30,0)</f>
        <v>0</v>
      </c>
      <c r="CJ91" s="38">
        <f t="shared" si="140"/>
        <v>0</v>
      </c>
      <c r="CK91" s="38"/>
      <c r="CL91" s="38"/>
      <c r="CM91" s="38"/>
      <c r="CN91" s="38"/>
      <c r="CO91" s="38"/>
      <c r="CP91" s="38"/>
      <c r="CQ91" s="38"/>
      <c r="CR91" s="38"/>
      <c r="CS91" s="38"/>
      <c r="CT91" s="38"/>
      <c r="CU91" s="38"/>
      <c r="CV91" s="38"/>
      <c r="CW91" s="38"/>
      <c r="CX91" s="38"/>
      <c r="CY91" s="38"/>
      <c r="CZ91" s="38"/>
      <c r="DA91" s="38"/>
      <c r="DB91" s="45">
        <f t="shared" si="103"/>
        <v>0</v>
      </c>
      <c r="DC91" s="45"/>
      <c r="DD91" s="46">
        <f t="shared" si="117"/>
        <v>0</v>
      </c>
      <c r="DE91" s="41">
        <f t="shared" si="99"/>
        <v>0</v>
      </c>
      <c r="DF91" s="41">
        <f t="shared" si="131"/>
        <v>0</v>
      </c>
      <c r="DG91" s="47"/>
      <c r="DH91" s="47"/>
      <c r="DI91" s="47"/>
      <c r="DJ91" s="47"/>
      <c r="DK91" s="47"/>
      <c r="DL91" s="47"/>
      <c r="DM91" s="47"/>
      <c r="DN91" s="47"/>
      <c r="DO91" s="47"/>
      <c r="DP91" s="47"/>
      <c r="DQ91" s="47"/>
      <c r="DR91" s="47"/>
      <c r="DS91" s="47"/>
      <c r="DT91" s="47"/>
      <c r="DU91" s="47"/>
      <c r="DV91" s="47"/>
      <c r="DW91" s="47"/>
      <c r="DX91" s="47">
        <f t="shared" si="101"/>
        <v>0</v>
      </c>
      <c r="DY91" s="92">
        <f t="shared" si="118"/>
        <v>0</v>
      </c>
    </row>
    <row r="92" spans="2:129" s="3" customFormat="1" ht="12.75" x14ac:dyDescent="0.2">
      <c r="B92" s="12">
        <f t="shared" si="132"/>
        <v>67</v>
      </c>
      <c r="C92" s="13">
        <f t="shared" si="107"/>
        <v>0.11934718835481002</v>
      </c>
      <c r="D92" s="82">
        <f>IF($B92=F$20,'Construction Costs_2022'!$K$22+'Construction Costs_2022'!$K$7,0)</f>
        <v>0</v>
      </c>
      <c r="E92" s="38">
        <f t="shared" si="133"/>
        <v>28800</v>
      </c>
      <c r="F92" s="38"/>
      <c r="G92" s="45"/>
      <c r="H92" s="46">
        <f t="shared" si="108"/>
        <v>28800</v>
      </c>
      <c r="I92" s="41">
        <f t="shared" si="122"/>
        <v>0</v>
      </c>
      <c r="J92" s="41">
        <f t="shared" si="122"/>
        <v>3437.1990246185287</v>
      </c>
      <c r="K92" s="47">
        <f t="shared" si="122"/>
        <v>0</v>
      </c>
      <c r="L92" s="47">
        <f t="shared" si="122"/>
        <v>0</v>
      </c>
      <c r="M92" s="92">
        <f t="shared" si="134"/>
        <v>3437.1990246185287</v>
      </c>
      <c r="N92" s="91">
        <f>IF($B92=P$20,'Construction Costs_2022'!$K$43+'Construction Costs_2022'!$K$7,0)</f>
        <v>0</v>
      </c>
      <c r="O92" s="38">
        <f t="shared" si="135"/>
        <v>43200</v>
      </c>
      <c r="P92" s="38"/>
      <c r="Q92" s="45"/>
      <c r="R92" s="46">
        <f t="shared" si="110"/>
        <v>43200</v>
      </c>
      <c r="S92" s="41">
        <f t="shared" si="119"/>
        <v>0</v>
      </c>
      <c r="T92" s="41">
        <f t="shared" si="119"/>
        <v>5155.7985369277931</v>
      </c>
      <c r="U92" s="47">
        <f t="shared" si="104"/>
        <v>0</v>
      </c>
      <c r="V92" s="47">
        <f t="shared" si="106"/>
        <v>0</v>
      </c>
      <c r="W92" s="92">
        <f t="shared" si="136"/>
        <v>5155.7985369277931</v>
      </c>
      <c r="X92" s="82">
        <f>IF($B92=AP$20,'OBC Cost _Van Oord 2022'!$E$30,0)</f>
        <v>0</v>
      </c>
      <c r="Y92" s="38">
        <f t="shared" si="137"/>
        <v>86400</v>
      </c>
      <c r="Z92" s="38"/>
      <c r="AA92" s="38"/>
      <c r="AB92" s="38"/>
      <c r="AC92" s="38"/>
      <c r="AD92" s="38"/>
      <c r="AE92" s="38"/>
      <c r="AF92" s="38"/>
      <c r="AG92" s="38"/>
      <c r="AH92" s="38"/>
      <c r="AI92" s="38"/>
      <c r="AJ92" s="38"/>
      <c r="AK92" s="38"/>
      <c r="AL92" s="38"/>
      <c r="AM92" s="38"/>
      <c r="AN92" s="38"/>
      <c r="AO92" s="38"/>
      <c r="AP92" s="38"/>
      <c r="AQ92" s="45">
        <f t="shared" si="102"/>
        <v>22464</v>
      </c>
      <c r="AR92" s="45"/>
      <c r="AS92" s="46">
        <f t="shared" si="123"/>
        <v>108864</v>
      </c>
      <c r="AT92" s="41">
        <f t="shared" si="124"/>
        <v>0</v>
      </c>
      <c r="AU92" s="41">
        <f t="shared" si="125"/>
        <v>10311.597073855586</v>
      </c>
      <c r="AV92" s="47"/>
      <c r="AW92" s="47"/>
      <c r="AX92" s="47"/>
      <c r="AY92" s="47"/>
      <c r="AZ92" s="47"/>
      <c r="BA92" s="47"/>
      <c r="BB92" s="47"/>
      <c r="BC92" s="47"/>
      <c r="BD92" s="47"/>
      <c r="BE92" s="47"/>
      <c r="BF92" s="47"/>
      <c r="BG92" s="47"/>
      <c r="BH92" s="47"/>
      <c r="BI92" s="47"/>
      <c r="BJ92" s="47"/>
      <c r="BK92" s="47"/>
      <c r="BL92" s="47"/>
      <c r="BM92" s="47">
        <f t="shared" ref="BM92:BM124" si="141">AQ92*$C92</f>
        <v>2681.0152392024524</v>
      </c>
      <c r="BN92" s="92">
        <f t="shared" si="126"/>
        <v>12992.612313058038</v>
      </c>
      <c r="BO92" s="82">
        <f>IF($B92=BQ$20,'Construction Costs_2022'!$K$84+'Construction Costs_2022'!$K$7,0)</f>
        <v>0</v>
      </c>
      <c r="BP92" s="38">
        <f t="shared" si="127"/>
        <v>100800</v>
      </c>
      <c r="BQ92" s="38"/>
      <c r="BR92" s="45"/>
      <c r="BS92" s="46">
        <f t="shared" ref="BS92:BS124" si="142">SUM(BO92:BR92)</f>
        <v>100800</v>
      </c>
      <c r="BT92" s="41">
        <f t="shared" si="128"/>
        <v>0</v>
      </c>
      <c r="BU92" s="41">
        <f t="shared" si="128"/>
        <v>12030.19658616485</v>
      </c>
      <c r="BV92" s="47">
        <f t="shared" si="128"/>
        <v>0</v>
      </c>
      <c r="BW92" s="47">
        <f t="shared" si="120"/>
        <v>0</v>
      </c>
      <c r="BX92" s="92">
        <f t="shared" si="138"/>
        <v>12030.19658616485</v>
      </c>
      <c r="BY92" s="82">
        <f>IF($B92=CA$20,'Construction Costs_2022'!$K$104+'Construction Costs_2022'!$K$7,0)</f>
        <v>0</v>
      </c>
      <c r="BZ92" s="38">
        <f t="shared" si="129"/>
        <v>57600</v>
      </c>
      <c r="CA92" s="38"/>
      <c r="CB92" s="45"/>
      <c r="CC92" s="46">
        <f t="shared" ref="CC92:CC124" si="143">SUM(BY92:CB92)</f>
        <v>57600</v>
      </c>
      <c r="CD92" s="41">
        <f t="shared" si="130"/>
        <v>0</v>
      </c>
      <c r="CE92" s="41">
        <f t="shared" si="130"/>
        <v>6874.3980492370574</v>
      </c>
      <c r="CF92" s="47">
        <f t="shared" si="130"/>
        <v>0</v>
      </c>
      <c r="CG92" s="47">
        <f t="shared" si="121"/>
        <v>0</v>
      </c>
      <c r="CH92" s="92">
        <f t="shared" si="139"/>
        <v>6874.3980492370574</v>
      </c>
      <c r="CI92" s="82">
        <f>IF($B92=DA$20,'OBC Cost _Van Oord 2022'!$E$30,0)</f>
        <v>0</v>
      </c>
      <c r="CJ92" s="38">
        <f t="shared" si="140"/>
        <v>86400</v>
      </c>
      <c r="CK92" s="38"/>
      <c r="CL92" s="38"/>
      <c r="CM92" s="38"/>
      <c r="CN92" s="38"/>
      <c r="CO92" s="38"/>
      <c r="CP92" s="38"/>
      <c r="CQ92" s="38"/>
      <c r="CR92" s="38"/>
      <c r="CS92" s="38"/>
      <c r="CT92" s="38"/>
      <c r="CU92" s="38"/>
      <c r="CV92" s="38"/>
      <c r="CW92" s="38"/>
      <c r="CX92" s="38"/>
      <c r="CY92" s="38"/>
      <c r="CZ92" s="38"/>
      <c r="DA92" s="38"/>
      <c r="DB92" s="45">
        <f t="shared" si="103"/>
        <v>25920</v>
      </c>
      <c r="DC92" s="45"/>
      <c r="DD92" s="46">
        <f t="shared" si="117"/>
        <v>112320</v>
      </c>
      <c r="DE92" s="41">
        <f t="shared" ref="DE92:DE124" si="144">CI92*$C92</f>
        <v>0</v>
      </c>
      <c r="DF92" s="41">
        <f t="shared" si="131"/>
        <v>10311.597073855586</v>
      </c>
      <c r="DG92" s="47"/>
      <c r="DH92" s="47"/>
      <c r="DI92" s="47"/>
      <c r="DJ92" s="47"/>
      <c r="DK92" s="47"/>
      <c r="DL92" s="47"/>
      <c r="DM92" s="47"/>
      <c r="DN92" s="47"/>
      <c r="DO92" s="47"/>
      <c r="DP92" s="47"/>
      <c r="DQ92" s="47"/>
      <c r="DR92" s="47"/>
      <c r="DS92" s="47"/>
      <c r="DT92" s="47"/>
      <c r="DU92" s="47"/>
      <c r="DV92" s="47"/>
      <c r="DW92" s="47"/>
      <c r="DX92" s="47">
        <f t="shared" ref="DX92:DX124" si="145">DB92*$C92</f>
        <v>3093.4791221566757</v>
      </c>
      <c r="DY92" s="92">
        <f t="shared" si="118"/>
        <v>13405.076196012262</v>
      </c>
    </row>
    <row r="93" spans="2:129" s="3" customFormat="1" ht="12.75" x14ac:dyDescent="0.2">
      <c r="B93" s="12">
        <f t="shared" si="132"/>
        <v>68</v>
      </c>
      <c r="C93" s="13">
        <f t="shared" si="107"/>
        <v>0.11587105665515536</v>
      </c>
      <c r="D93" s="82">
        <f>IF($B93=F$20,'Construction Costs_2022'!$K$22+'Construction Costs_2022'!$K$7,0)</f>
        <v>0</v>
      </c>
      <c r="E93" s="38">
        <f t="shared" si="133"/>
        <v>28800</v>
      </c>
      <c r="F93" s="38"/>
      <c r="G93" s="45"/>
      <c r="H93" s="46">
        <f t="shared" si="108"/>
        <v>28800</v>
      </c>
      <c r="I93" s="41">
        <f t="shared" si="122"/>
        <v>0</v>
      </c>
      <c r="J93" s="41">
        <f t="shared" si="122"/>
        <v>3337.0864316684742</v>
      </c>
      <c r="K93" s="47">
        <f t="shared" si="122"/>
        <v>0</v>
      </c>
      <c r="L93" s="47">
        <f t="shared" si="122"/>
        <v>0</v>
      </c>
      <c r="M93" s="92">
        <f t="shared" si="134"/>
        <v>3337.0864316684742</v>
      </c>
      <c r="N93" s="91">
        <f>IF($B93=P$20,'Construction Costs_2022'!$K$43+'Construction Costs_2022'!$K$7,0)</f>
        <v>0</v>
      </c>
      <c r="O93" s="38">
        <f t="shared" si="135"/>
        <v>43200</v>
      </c>
      <c r="P93" s="38"/>
      <c r="Q93" s="45"/>
      <c r="R93" s="46">
        <f t="shared" si="110"/>
        <v>43200</v>
      </c>
      <c r="S93" s="41">
        <f t="shared" si="119"/>
        <v>0</v>
      </c>
      <c r="T93" s="41">
        <f t="shared" si="119"/>
        <v>5005.6296475027111</v>
      </c>
      <c r="U93" s="47">
        <f t="shared" si="104"/>
        <v>0</v>
      </c>
      <c r="V93" s="47">
        <f t="shared" si="106"/>
        <v>0</v>
      </c>
      <c r="W93" s="92">
        <f t="shared" si="136"/>
        <v>5005.6296475027111</v>
      </c>
      <c r="X93" s="82">
        <f>IF($B93=AP$20,'OBC Cost _Van Oord 2022'!$E$30,0)</f>
        <v>0</v>
      </c>
      <c r="Y93" s="38">
        <f t="shared" si="137"/>
        <v>0</v>
      </c>
      <c r="Z93" s="38"/>
      <c r="AA93" s="38"/>
      <c r="AB93" s="38"/>
      <c r="AC93" s="38"/>
      <c r="AD93" s="38"/>
      <c r="AE93" s="38"/>
      <c r="AF93" s="38"/>
      <c r="AG93" s="38"/>
      <c r="AH93" s="38"/>
      <c r="AI93" s="38"/>
      <c r="AJ93" s="38"/>
      <c r="AK93" s="38"/>
      <c r="AL93" s="38"/>
      <c r="AM93" s="38"/>
      <c r="AN93" s="38"/>
      <c r="AO93" s="38"/>
      <c r="AP93" s="38"/>
      <c r="AQ93" s="45">
        <f t="shared" ref="AQ93:AQ124" si="146">0.26*Y93</f>
        <v>0</v>
      </c>
      <c r="AR93" s="45"/>
      <c r="AS93" s="46">
        <f t="shared" si="123"/>
        <v>0</v>
      </c>
      <c r="AT93" s="41">
        <f t="shared" si="124"/>
        <v>0</v>
      </c>
      <c r="AU93" s="41">
        <f t="shared" si="125"/>
        <v>0</v>
      </c>
      <c r="AV93" s="47"/>
      <c r="AW93" s="47"/>
      <c r="AX93" s="47"/>
      <c r="AY93" s="47"/>
      <c r="AZ93" s="47"/>
      <c r="BA93" s="47"/>
      <c r="BB93" s="47"/>
      <c r="BC93" s="47"/>
      <c r="BD93" s="47"/>
      <c r="BE93" s="47"/>
      <c r="BF93" s="47"/>
      <c r="BG93" s="47"/>
      <c r="BH93" s="47"/>
      <c r="BI93" s="47"/>
      <c r="BJ93" s="47"/>
      <c r="BK93" s="47"/>
      <c r="BL93" s="47"/>
      <c r="BM93" s="47">
        <f t="shared" si="141"/>
        <v>0</v>
      </c>
      <c r="BN93" s="92">
        <f t="shared" si="126"/>
        <v>0</v>
      </c>
      <c r="BO93" s="82">
        <f>IF($B93=BQ$20,'Construction Costs_2022'!$K$84+'Construction Costs_2022'!$K$7,0)</f>
        <v>0</v>
      </c>
      <c r="BP93" s="38">
        <f t="shared" si="127"/>
        <v>0</v>
      </c>
      <c r="BQ93" s="38"/>
      <c r="BR93" s="45"/>
      <c r="BS93" s="46">
        <f t="shared" si="142"/>
        <v>0</v>
      </c>
      <c r="BT93" s="41">
        <f t="shared" si="128"/>
        <v>0</v>
      </c>
      <c r="BU93" s="41">
        <f t="shared" si="128"/>
        <v>0</v>
      </c>
      <c r="BV93" s="47">
        <f t="shared" si="128"/>
        <v>0</v>
      </c>
      <c r="BW93" s="47">
        <f t="shared" si="120"/>
        <v>0</v>
      </c>
      <c r="BX93" s="92">
        <f t="shared" si="138"/>
        <v>0</v>
      </c>
      <c r="BY93" s="82">
        <f>IF($B93=CA$20,'Construction Costs_2022'!$K$104+'Construction Costs_2022'!$K$7,0)</f>
        <v>0</v>
      </c>
      <c r="BZ93" s="38">
        <f t="shared" si="129"/>
        <v>0</v>
      </c>
      <c r="CA93" s="38"/>
      <c r="CB93" s="45"/>
      <c r="CC93" s="46">
        <f t="shared" si="143"/>
        <v>0</v>
      </c>
      <c r="CD93" s="41">
        <f t="shared" si="130"/>
        <v>0</v>
      </c>
      <c r="CE93" s="41">
        <f t="shared" si="130"/>
        <v>0</v>
      </c>
      <c r="CF93" s="47">
        <f t="shared" si="130"/>
        <v>0</v>
      </c>
      <c r="CG93" s="47">
        <f t="shared" si="121"/>
        <v>0</v>
      </c>
      <c r="CH93" s="92">
        <f t="shared" si="139"/>
        <v>0</v>
      </c>
      <c r="CI93" s="82">
        <f>IF($B93=DA$20,'OBC Cost _Van Oord 2022'!$E$30,0)</f>
        <v>0</v>
      </c>
      <c r="CJ93" s="38">
        <f t="shared" si="140"/>
        <v>0</v>
      </c>
      <c r="CK93" s="38"/>
      <c r="CL93" s="38"/>
      <c r="CM93" s="38"/>
      <c r="CN93" s="38"/>
      <c r="CO93" s="38"/>
      <c r="CP93" s="38"/>
      <c r="CQ93" s="38"/>
      <c r="CR93" s="38"/>
      <c r="CS93" s="38"/>
      <c r="CT93" s="38"/>
      <c r="CU93" s="38"/>
      <c r="CV93" s="38"/>
      <c r="CW93" s="38"/>
      <c r="CX93" s="38"/>
      <c r="CY93" s="38"/>
      <c r="CZ93" s="38"/>
      <c r="DA93" s="38"/>
      <c r="DB93" s="45">
        <f t="shared" ref="DB93:DB124" si="147">0.3*CJ93</f>
        <v>0</v>
      </c>
      <c r="DC93" s="45"/>
      <c r="DD93" s="46">
        <f t="shared" si="117"/>
        <v>0</v>
      </c>
      <c r="DE93" s="41">
        <f t="shared" si="144"/>
        <v>0</v>
      </c>
      <c r="DF93" s="41">
        <f t="shared" si="131"/>
        <v>0</v>
      </c>
      <c r="DG93" s="47"/>
      <c r="DH93" s="47"/>
      <c r="DI93" s="47"/>
      <c r="DJ93" s="47"/>
      <c r="DK93" s="47"/>
      <c r="DL93" s="47"/>
      <c r="DM93" s="47"/>
      <c r="DN93" s="47"/>
      <c r="DO93" s="47"/>
      <c r="DP93" s="47"/>
      <c r="DQ93" s="47"/>
      <c r="DR93" s="47"/>
      <c r="DS93" s="47"/>
      <c r="DT93" s="47"/>
      <c r="DU93" s="47"/>
      <c r="DV93" s="47"/>
      <c r="DW93" s="47"/>
      <c r="DX93" s="47">
        <f t="shared" si="145"/>
        <v>0</v>
      </c>
      <c r="DY93" s="92">
        <f t="shared" si="118"/>
        <v>0</v>
      </c>
    </row>
    <row r="94" spans="2:129" s="3" customFormat="1" ht="12.75" x14ac:dyDescent="0.2">
      <c r="B94" s="12">
        <f t="shared" si="132"/>
        <v>69</v>
      </c>
      <c r="C94" s="13">
        <f t="shared" si="107"/>
        <v>0.11249617150985958</v>
      </c>
      <c r="D94" s="82">
        <f>IF($B94=F$20,'Construction Costs_2022'!$K$22+'Construction Costs_2022'!$K$7,0)</f>
        <v>0</v>
      </c>
      <c r="E94" s="38">
        <f t="shared" si="133"/>
        <v>28800</v>
      </c>
      <c r="F94" s="38"/>
      <c r="G94" s="45"/>
      <c r="H94" s="46">
        <f t="shared" si="108"/>
        <v>28800</v>
      </c>
      <c r="I94" s="41">
        <f t="shared" si="122"/>
        <v>0</v>
      </c>
      <c r="J94" s="41">
        <f t="shared" si="122"/>
        <v>3239.889739483956</v>
      </c>
      <c r="K94" s="47">
        <f t="shared" si="122"/>
        <v>0</v>
      </c>
      <c r="L94" s="47">
        <f t="shared" si="122"/>
        <v>0</v>
      </c>
      <c r="M94" s="92">
        <f t="shared" si="134"/>
        <v>3239.889739483956</v>
      </c>
      <c r="N94" s="91">
        <f>IF($B94=P$20,'Construction Costs_2022'!$K$43+'Construction Costs_2022'!$K$7,0)</f>
        <v>0</v>
      </c>
      <c r="O94" s="38">
        <f t="shared" si="135"/>
        <v>43200</v>
      </c>
      <c r="P94" s="38"/>
      <c r="Q94" s="45"/>
      <c r="R94" s="46">
        <f t="shared" si="110"/>
        <v>43200</v>
      </c>
      <c r="S94" s="41">
        <f t="shared" si="119"/>
        <v>0</v>
      </c>
      <c r="T94" s="41">
        <f t="shared" si="119"/>
        <v>4859.8346092259335</v>
      </c>
      <c r="U94" s="47">
        <f t="shared" si="104"/>
        <v>0</v>
      </c>
      <c r="V94" s="47">
        <f t="shared" si="106"/>
        <v>0</v>
      </c>
      <c r="W94" s="92">
        <f t="shared" si="136"/>
        <v>4859.8346092259335</v>
      </c>
      <c r="X94" s="82">
        <f>IF($B94=AP$20,'OBC Cost _Van Oord 2022'!$E$30,0)</f>
        <v>0</v>
      </c>
      <c r="Y94" s="38">
        <f t="shared" si="137"/>
        <v>0</v>
      </c>
      <c r="Z94" s="38"/>
      <c r="AA94" s="38"/>
      <c r="AB94" s="38"/>
      <c r="AC94" s="38"/>
      <c r="AD94" s="38"/>
      <c r="AE94" s="38"/>
      <c r="AF94" s="38"/>
      <c r="AG94" s="38"/>
      <c r="AH94" s="38"/>
      <c r="AI94" s="38"/>
      <c r="AJ94" s="38"/>
      <c r="AK94" s="38"/>
      <c r="AL94" s="38"/>
      <c r="AM94" s="38"/>
      <c r="AN94" s="38"/>
      <c r="AO94" s="38"/>
      <c r="AP94" s="38"/>
      <c r="AQ94" s="45">
        <f t="shared" si="146"/>
        <v>0</v>
      </c>
      <c r="AR94" s="45"/>
      <c r="AS94" s="46">
        <f t="shared" si="123"/>
        <v>0</v>
      </c>
      <c r="AT94" s="41">
        <f t="shared" si="124"/>
        <v>0</v>
      </c>
      <c r="AU94" s="41">
        <f t="shared" si="125"/>
        <v>0</v>
      </c>
      <c r="AV94" s="47"/>
      <c r="AW94" s="47"/>
      <c r="AX94" s="47"/>
      <c r="AY94" s="47"/>
      <c r="AZ94" s="47"/>
      <c r="BA94" s="47"/>
      <c r="BB94" s="47"/>
      <c r="BC94" s="47"/>
      <c r="BD94" s="47"/>
      <c r="BE94" s="47"/>
      <c r="BF94" s="47"/>
      <c r="BG94" s="47"/>
      <c r="BH94" s="47"/>
      <c r="BI94" s="47"/>
      <c r="BJ94" s="47"/>
      <c r="BK94" s="47"/>
      <c r="BL94" s="47"/>
      <c r="BM94" s="47">
        <f t="shared" si="141"/>
        <v>0</v>
      </c>
      <c r="BN94" s="92">
        <f t="shared" si="126"/>
        <v>0</v>
      </c>
      <c r="BO94" s="82">
        <f>IF($B94=BQ$20,'Construction Costs_2022'!$K$84+'Construction Costs_2022'!$K$7,0)</f>
        <v>0</v>
      </c>
      <c r="BP94" s="38">
        <f t="shared" si="127"/>
        <v>0</v>
      </c>
      <c r="BQ94" s="38"/>
      <c r="BR94" s="45"/>
      <c r="BS94" s="46">
        <f t="shared" si="142"/>
        <v>0</v>
      </c>
      <c r="BT94" s="41">
        <f t="shared" si="128"/>
        <v>0</v>
      </c>
      <c r="BU94" s="41">
        <f t="shared" si="128"/>
        <v>0</v>
      </c>
      <c r="BV94" s="47">
        <f t="shared" si="128"/>
        <v>0</v>
      </c>
      <c r="BW94" s="47">
        <f t="shared" si="120"/>
        <v>0</v>
      </c>
      <c r="BX94" s="92">
        <f t="shared" si="138"/>
        <v>0</v>
      </c>
      <c r="BY94" s="82">
        <f>IF($B94=CA$20,'Construction Costs_2022'!$K$104+'Construction Costs_2022'!$K$7,0)</f>
        <v>0</v>
      </c>
      <c r="BZ94" s="38">
        <f t="shared" si="129"/>
        <v>0</v>
      </c>
      <c r="CA94" s="38"/>
      <c r="CB94" s="45"/>
      <c r="CC94" s="46">
        <f t="shared" si="143"/>
        <v>0</v>
      </c>
      <c r="CD94" s="41">
        <f t="shared" si="130"/>
        <v>0</v>
      </c>
      <c r="CE94" s="41">
        <f t="shared" si="130"/>
        <v>0</v>
      </c>
      <c r="CF94" s="47">
        <f t="shared" si="130"/>
        <v>0</v>
      </c>
      <c r="CG94" s="47">
        <f t="shared" si="121"/>
        <v>0</v>
      </c>
      <c r="CH94" s="92">
        <f t="shared" si="139"/>
        <v>0</v>
      </c>
      <c r="CI94" s="82">
        <f>IF($B94=DA$20,'OBC Cost _Van Oord 2022'!$E$30,0)</f>
        <v>0</v>
      </c>
      <c r="CJ94" s="38">
        <f t="shared" si="140"/>
        <v>0</v>
      </c>
      <c r="CK94" s="38"/>
      <c r="CL94" s="38"/>
      <c r="CM94" s="38"/>
      <c r="CN94" s="38"/>
      <c r="CO94" s="38"/>
      <c r="CP94" s="38"/>
      <c r="CQ94" s="38"/>
      <c r="CR94" s="38"/>
      <c r="CS94" s="38"/>
      <c r="CT94" s="38"/>
      <c r="CU94" s="38"/>
      <c r="CV94" s="38"/>
      <c r="CW94" s="38"/>
      <c r="CX94" s="38"/>
      <c r="CY94" s="38"/>
      <c r="CZ94" s="38"/>
      <c r="DA94" s="38"/>
      <c r="DB94" s="45">
        <f t="shared" si="147"/>
        <v>0</v>
      </c>
      <c r="DC94" s="45"/>
      <c r="DD94" s="46">
        <f t="shared" si="117"/>
        <v>0</v>
      </c>
      <c r="DE94" s="41">
        <f t="shared" si="144"/>
        <v>0</v>
      </c>
      <c r="DF94" s="41">
        <f t="shared" si="131"/>
        <v>0</v>
      </c>
      <c r="DG94" s="47"/>
      <c r="DH94" s="47"/>
      <c r="DI94" s="47"/>
      <c r="DJ94" s="47"/>
      <c r="DK94" s="47"/>
      <c r="DL94" s="47"/>
      <c r="DM94" s="47"/>
      <c r="DN94" s="47"/>
      <c r="DO94" s="47"/>
      <c r="DP94" s="47"/>
      <c r="DQ94" s="47"/>
      <c r="DR94" s="47"/>
      <c r="DS94" s="47"/>
      <c r="DT94" s="47"/>
      <c r="DU94" s="47"/>
      <c r="DV94" s="47"/>
      <c r="DW94" s="47"/>
      <c r="DX94" s="47">
        <f t="shared" si="145"/>
        <v>0</v>
      </c>
      <c r="DY94" s="92">
        <f t="shared" si="118"/>
        <v>0</v>
      </c>
    </row>
    <row r="95" spans="2:129" s="3" customFormat="1" ht="12.75" x14ac:dyDescent="0.2">
      <c r="B95" s="12">
        <f t="shared" si="132"/>
        <v>70</v>
      </c>
      <c r="C95" s="13">
        <f t="shared" si="107"/>
        <v>0.10921958399015493</v>
      </c>
      <c r="D95" s="82">
        <f>IF($B95=F$20,'Construction Costs_2022'!$K$22+'Construction Costs_2022'!$K$7,0)</f>
        <v>0</v>
      </c>
      <c r="E95" s="38">
        <f t="shared" si="133"/>
        <v>28800</v>
      </c>
      <c r="F95" s="38"/>
      <c r="G95" s="45"/>
      <c r="H95" s="46">
        <f t="shared" si="108"/>
        <v>28800</v>
      </c>
      <c r="I95" s="41">
        <f t="shared" si="122"/>
        <v>0</v>
      </c>
      <c r="J95" s="41">
        <f t="shared" si="122"/>
        <v>3145.524018916462</v>
      </c>
      <c r="K95" s="47">
        <f t="shared" si="122"/>
        <v>0</v>
      </c>
      <c r="L95" s="47">
        <f t="shared" si="122"/>
        <v>0</v>
      </c>
      <c r="M95" s="92">
        <f t="shared" si="134"/>
        <v>3145.524018916462</v>
      </c>
      <c r="N95" s="91">
        <f>IF($B95=P$20,'Construction Costs_2022'!$K$43+'Construction Costs_2022'!$K$7,0)</f>
        <v>0</v>
      </c>
      <c r="O95" s="38">
        <f t="shared" si="135"/>
        <v>43200</v>
      </c>
      <c r="P95" s="38"/>
      <c r="Q95" s="45"/>
      <c r="R95" s="46">
        <f t="shared" si="110"/>
        <v>43200</v>
      </c>
      <c r="S95" s="41">
        <f t="shared" si="119"/>
        <v>0</v>
      </c>
      <c r="T95" s="41">
        <f t="shared" si="119"/>
        <v>4718.2860283746932</v>
      </c>
      <c r="U95" s="47">
        <f t="shared" si="104"/>
        <v>0</v>
      </c>
      <c r="V95" s="47">
        <f t="shared" si="106"/>
        <v>0</v>
      </c>
      <c r="W95" s="92">
        <f t="shared" si="136"/>
        <v>4718.2860283746932</v>
      </c>
      <c r="X95" s="82">
        <f>IF($B95=AP$20,'OBC Cost _Van Oord 2022'!$E$30,0)</f>
        <v>0</v>
      </c>
      <c r="Y95" s="38">
        <f t="shared" si="137"/>
        <v>0</v>
      </c>
      <c r="Z95" s="38"/>
      <c r="AA95" s="38"/>
      <c r="AB95" s="38"/>
      <c r="AC95" s="38"/>
      <c r="AD95" s="38"/>
      <c r="AE95" s="38"/>
      <c r="AF95" s="38"/>
      <c r="AG95" s="38"/>
      <c r="AH95" s="38"/>
      <c r="AI95" s="38"/>
      <c r="AJ95" s="38"/>
      <c r="AK95" s="38"/>
      <c r="AL95" s="38"/>
      <c r="AM95" s="38"/>
      <c r="AN95" s="38"/>
      <c r="AO95" s="38"/>
      <c r="AP95" s="38"/>
      <c r="AQ95" s="45">
        <f t="shared" si="146"/>
        <v>0</v>
      </c>
      <c r="AR95" s="45"/>
      <c r="AS95" s="46">
        <f t="shared" si="123"/>
        <v>0</v>
      </c>
      <c r="AT95" s="41">
        <f t="shared" si="124"/>
        <v>0</v>
      </c>
      <c r="AU95" s="41">
        <f t="shared" si="125"/>
        <v>0</v>
      </c>
      <c r="AV95" s="47"/>
      <c r="AW95" s="47"/>
      <c r="AX95" s="47"/>
      <c r="AY95" s="47"/>
      <c r="AZ95" s="47"/>
      <c r="BA95" s="47"/>
      <c r="BB95" s="47"/>
      <c r="BC95" s="47"/>
      <c r="BD95" s="47"/>
      <c r="BE95" s="47"/>
      <c r="BF95" s="47"/>
      <c r="BG95" s="47"/>
      <c r="BH95" s="47"/>
      <c r="BI95" s="47"/>
      <c r="BJ95" s="47"/>
      <c r="BK95" s="47"/>
      <c r="BL95" s="47"/>
      <c r="BM95" s="47">
        <f t="shared" si="141"/>
        <v>0</v>
      </c>
      <c r="BN95" s="92">
        <f t="shared" si="126"/>
        <v>0</v>
      </c>
      <c r="BO95" s="82">
        <f>IF($B95=BQ$20,'Construction Costs_2022'!$K$84+'Construction Costs_2022'!$K$7,0)</f>
        <v>0</v>
      </c>
      <c r="BP95" s="38">
        <f t="shared" si="127"/>
        <v>0</v>
      </c>
      <c r="BQ95" s="38"/>
      <c r="BR95" s="45"/>
      <c r="BS95" s="46">
        <f t="shared" si="142"/>
        <v>0</v>
      </c>
      <c r="BT95" s="41">
        <f t="shared" si="128"/>
        <v>0</v>
      </c>
      <c r="BU95" s="41">
        <f t="shared" si="128"/>
        <v>0</v>
      </c>
      <c r="BV95" s="47">
        <f t="shared" si="128"/>
        <v>0</v>
      </c>
      <c r="BW95" s="47">
        <f t="shared" si="120"/>
        <v>0</v>
      </c>
      <c r="BX95" s="92">
        <f t="shared" si="138"/>
        <v>0</v>
      </c>
      <c r="BY95" s="82">
        <f>IF($B95=CA$20,'Construction Costs_2022'!$K$104+'Construction Costs_2022'!$K$7,0)</f>
        <v>0</v>
      </c>
      <c r="BZ95" s="38">
        <f t="shared" si="129"/>
        <v>0</v>
      </c>
      <c r="CA95" s="38"/>
      <c r="CB95" s="45"/>
      <c r="CC95" s="46">
        <f t="shared" si="143"/>
        <v>0</v>
      </c>
      <c r="CD95" s="41">
        <f t="shared" si="130"/>
        <v>0</v>
      </c>
      <c r="CE95" s="41">
        <f t="shared" si="130"/>
        <v>0</v>
      </c>
      <c r="CF95" s="47">
        <f t="shared" si="130"/>
        <v>0</v>
      </c>
      <c r="CG95" s="47">
        <f t="shared" si="121"/>
        <v>0</v>
      </c>
      <c r="CH95" s="92">
        <f t="shared" si="139"/>
        <v>0</v>
      </c>
      <c r="CI95" s="82">
        <f>IF($B95=DA$20,'OBC Cost _Van Oord 2022'!$E$30,0)</f>
        <v>0</v>
      </c>
      <c r="CJ95" s="38">
        <f t="shared" si="140"/>
        <v>0</v>
      </c>
      <c r="CK95" s="38"/>
      <c r="CL95" s="38"/>
      <c r="CM95" s="38"/>
      <c r="CN95" s="38"/>
      <c r="CO95" s="38"/>
      <c r="CP95" s="38"/>
      <c r="CQ95" s="38"/>
      <c r="CR95" s="38"/>
      <c r="CS95" s="38"/>
      <c r="CT95" s="38"/>
      <c r="CU95" s="38"/>
      <c r="CV95" s="38"/>
      <c r="CW95" s="38"/>
      <c r="CX95" s="38"/>
      <c r="CY95" s="38"/>
      <c r="CZ95" s="38"/>
      <c r="DA95" s="38"/>
      <c r="DB95" s="45">
        <f t="shared" si="147"/>
        <v>0</v>
      </c>
      <c r="DC95" s="45"/>
      <c r="DD95" s="46">
        <f t="shared" si="117"/>
        <v>0</v>
      </c>
      <c r="DE95" s="41">
        <f t="shared" si="144"/>
        <v>0</v>
      </c>
      <c r="DF95" s="41">
        <f t="shared" si="131"/>
        <v>0</v>
      </c>
      <c r="DG95" s="47"/>
      <c r="DH95" s="47"/>
      <c r="DI95" s="47"/>
      <c r="DJ95" s="47"/>
      <c r="DK95" s="47"/>
      <c r="DL95" s="47"/>
      <c r="DM95" s="47"/>
      <c r="DN95" s="47"/>
      <c r="DO95" s="47"/>
      <c r="DP95" s="47"/>
      <c r="DQ95" s="47"/>
      <c r="DR95" s="47"/>
      <c r="DS95" s="47"/>
      <c r="DT95" s="47"/>
      <c r="DU95" s="47"/>
      <c r="DV95" s="47"/>
      <c r="DW95" s="47"/>
      <c r="DX95" s="47">
        <f t="shared" si="145"/>
        <v>0</v>
      </c>
      <c r="DY95" s="92">
        <f t="shared" si="118"/>
        <v>0</v>
      </c>
    </row>
    <row r="96" spans="2:129" s="3" customFormat="1" ht="12.75" x14ac:dyDescent="0.2">
      <c r="B96" s="12">
        <f t="shared" si="132"/>
        <v>71</v>
      </c>
      <c r="C96" s="13">
        <f t="shared" si="107"/>
        <v>0.10603843105840284</v>
      </c>
      <c r="D96" s="82">
        <f>IF($B96=F$20,'Construction Costs_2022'!$K$22+'Construction Costs_2022'!$K$7,0)</f>
        <v>0</v>
      </c>
      <c r="E96" s="38">
        <f t="shared" si="133"/>
        <v>28800</v>
      </c>
      <c r="F96" s="38"/>
      <c r="G96" s="45"/>
      <c r="H96" s="46">
        <f t="shared" si="108"/>
        <v>28800</v>
      </c>
      <c r="I96" s="41">
        <f t="shared" si="122"/>
        <v>0</v>
      </c>
      <c r="J96" s="41">
        <f t="shared" si="122"/>
        <v>3053.9068144820017</v>
      </c>
      <c r="K96" s="47">
        <f t="shared" si="122"/>
        <v>0</v>
      </c>
      <c r="L96" s="47">
        <f t="shared" si="122"/>
        <v>0</v>
      </c>
      <c r="M96" s="92">
        <f t="shared" si="134"/>
        <v>3053.9068144820017</v>
      </c>
      <c r="N96" s="91">
        <f>IF($B96=P$20,'Construction Costs_2022'!$K$43+'Construction Costs_2022'!$K$7,0)</f>
        <v>0</v>
      </c>
      <c r="O96" s="38">
        <f t="shared" si="135"/>
        <v>43200</v>
      </c>
      <c r="P96" s="38"/>
      <c r="Q96" s="45"/>
      <c r="R96" s="46">
        <f t="shared" si="110"/>
        <v>43200</v>
      </c>
      <c r="S96" s="41">
        <f t="shared" si="119"/>
        <v>0</v>
      </c>
      <c r="T96" s="41">
        <f t="shared" si="119"/>
        <v>4580.8602217230027</v>
      </c>
      <c r="U96" s="47">
        <f t="shared" si="104"/>
        <v>0</v>
      </c>
      <c r="V96" s="47">
        <f t="shared" si="106"/>
        <v>0</v>
      </c>
      <c r="W96" s="92">
        <f t="shared" si="136"/>
        <v>4580.8602217230027</v>
      </c>
      <c r="X96" s="82">
        <f>IF($B96=AP$20,'OBC Cost _Van Oord 2022'!$E$30,0)</f>
        <v>0</v>
      </c>
      <c r="Y96" s="38">
        <f t="shared" si="137"/>
        <v>0</v>
      </c>
      <c r="Z96" s="38"/>
      <c r="AA96" s="38"/>
      <c r="AB96" s="38"/>
      <c r="AC96" s="38"/>
      <c r="AD96" s="38"/>
      <c r="AE96" s="38"/>
      <c r="AF96" s="38"/>
      <c r="AG96" s="38"/>
      <c r="AH96" s="38"/>
      <c r="AI96" s="38"/>
      <c r="AJ96" s="38"/>
      <c r="AK96" s="38"/>
      <c r="AL96" s="38"/>
      <c r="AM96" s="38"/>
      <c r="AN96" s="38"/>
      <c r="AO96" s="38"/>
      <c r="AP96" s="38"/>
      <c r="AQ96" s="45">
        <f t="shared" si="146"/>
        <v>0</v>
      </c>
      <c r="AR96" s="45"/>
      <c r="AS96" s="46">
        <f t="shared" si="123"/>
        <v>0</v>
      </c>
      <c r="AT96" s="41">
        <f t="shared" si="124"/>
        <v>0</v>
      </c>
      <c r="AU96" s="41">
        <f t="shared" si="125"/>
        <v>0</v>
      </c>
      <c r="AV96" s="47"/>
      <c r="AW96" s="47"/>
      <c r="AX96" s="47"/>
      <c r="AY96" s="47"/>
      <c r="AZ96" s="47"/>
      <c r="BA96" s="47"/>
      <c r="BB96" s="47"/>
      <c r="BC96" s="47"/>
      <c r="BD96" s="47"/>
      <c r="BE96" s="47"/>
      <c r="BF96" s="47"/>
      <c r="BG96" s="47"/>
      <c r="BH96" s="47"/>
      <c r="BI96" s="47"/>
      <c r="BJ96" s="47"/>
      <c r="BK96" s="47"/>
      <c r="BL96" s="47"/>
      <c r="BM96" s="47">
        <f t="shared" si="141"/>
        <v>0</v>
      </c>
      <c r="BN96" s="92">
        <f t="shared" si="126"/>
        <v>0</v>
      </c>
      <c r="BO96" s="82">
        <f>IF($B96=BQ$20,'Construction Costs_2022'!$K$84+'Construction Costs_2022'!$K$7,0)</f>
        <v>0</v>
      </c>
      <c r="BP96" s="38">
        <f t="shared" si="127"/>
        <v>0</v>
      </c>
      <c r="BQ96" s="38"/>
      <c r="BR96" s="45"/>
      <c r="BS96" s="46">
        <f t="shared" si="142"/>
        <v>0</v>
      </c>
      <c r="BT96" s="41">
        <f t="shared" si="128"/>
        <v>0</v>
      </c>
      <c r="BU96" s="41">
        <f t="shared" si="128"/>
        <v>0</v>
      </c>
      <c r="BV96" s="47">
        <f t="shared" si="128"/>
        <v>0</v>
      </c>
      <c r="BW96" s="47">
        <f t="shared" si="120"/>
        <v>0</v>
      </c>
      <c r="BX96" s="92">
        <f t="shared" si="138"/>
        <v>0</v>
      </c>
      <c r="BY96" s="82">
        <f>IF($B96=CA$20,'Construction Costs_2022'!$K$104+'Construction Costs_2022'!$K$7,0)</f>
        <v>0</v>
      </c>
      <c r="BZ96" s="38">
        <f t="shared" si="129"/>
        <v>0</v>
      </c>
      <c r="CA96" s="38"/>
      <c r="CB96" s="45"/>
      <c r="CC96" s="46">
        <f t="shared" si="143"/>
        <v>0</v>
      </c>
      <c r="CD96" s="41">
        <f t="shared" si="130"/>
        <v>0</v>
      </c>
      <c r="CE96" s="41">
        <f t="shared" si="130"/>
        <v>0</v>
      </c>
      <c r="CF96" s="47">
        <f t="shared" si="130"/>
        <v>0</v>
      </c>
      <c r="CG96" s="47">
        <f t="shared" si="121"/>
        <v>0</v>
      </c>
      <c r="CH96" s="92">
        <f t="shared" si="139"/>
        <v>0</v>
      </c>
      <c r="CI96" s="82">
        <f>IF($B96=DA$20,'OBC Cost _Van Oord 2022'!$E$30,0)</f>
        <v>0</v>
      </c>
      <c r="CJ96" s="38">
        <f t="shared" si="140"/>
        <v>0</v>
      </c>
      <c r="CK96" s="38"/>
      <c r="CL96" s="38"/>
      <c r="CM96" s="38"/>
      <c r="CN96" s="38"/>
      <c r="CO96" s="38"/>
      <c r="CP96" s="38"/>
      <c r="CQ96" s="38"/>
      <c r="CR96" s="38"/>
      <c r="CS96" s="38"/>
      <c r="CT96" s="38"/>
      <c r="CU96" s="38"/>
      <c r="CV96" s="38"/>
      <c r="CW96" s="38"/>
      <c r="CX96" s="38"/>
      <c r="CY96" s="38"/>
      <c r="CZ96" s="38"/>
      <c r="DA96" s="38"/>
      <c r="DB96" s="45">
        <f t="shared" si="147"/>
        <v>0</v>
      </c>
      <c r="DC96" s="45"/>
      <c r="DD96" s="46">
        <f t="shared" si="117"/>
        <v>0</v>
      </c>
      <c r="DE96" s="41">
        <f t="shared" si="144"/>
        <v>0</v>
      </c>
      <c r="DF96" s="41">
        <f t="shared" si="131"/>
        <v>0</v>
      </c>
      <c r="DG96" s="47"/>
      <c r="DH96" s="47"/>
      <c r="DI96" s="47"/>
      <c r="DJ96" s="47"/>
      <c r="DK96" s="47"/>
      <c r="DL96" s="47"/>
      <c r="DM96" s="47"/>
      <c r="DN96" s="47"/>
      <c r="DO96" s="47"/>
      <c r="DP96" s="47"/>
      <c r="DQ96" s="47"/>
      <c r="DR96" s="47"/>
      <c r="DS96" s="47"/>
      <c r="DT96" s="47"/>
      <c r="DU96" s="47"/>
      <c r="DV96" s="47"/>
      <c r="DW96" s="47"/>
      <c r="DX96" s="47">
        <f t="shared" si="145"/>
        <v>0</v>
      </c>
      <c r="DY96" s="92">
        <f t="shared" si="118"/>
        <v>0</v>
      </c>
    </row>
    <row r="97" spans="2:129" s="3" customFormat="1" ht="12.75" x14ac:dyDescent="0.2">
      <c r="B97" s="12">
        <f t="shared" si="132"/>
        <v>72</v>
      </c>
      <c r="C97" s="13">
        <f t="shared" si="107"/>
        <v>0.10294993306641052</v>
      </c>
      <c r="D97" s="82">
        <f>IF($B97=F$20,'Construction Costs_2022'!$K$22+'Construction Costs_2022'!$K$7,0)</f>
        <v>0</v>
      </c>
      <c r="E97" s="38">
        <f t="shared" si="133"/>
        <v>1301900</v>
      </c>
      <c r="F97" s="38"/>
      <c r="G97" s="45"/>
      <c r="H97" s="46">
        <f t="shared" si="108"/>
        <v>1301900</v>
      </c>
      <c r="I97" s="41">
        <f t="shared" si="122"/>
        <v>0</v>
      </c>
      <c r="J97" s="41">
        <f t="shared" si="122"/>
        <v>134030.51785915985</v>
      </c>
      <c r="K97" s="47">
        <f t="shared" si="122"/>
        <v>0</v>
      </c>
      <c r="L97" s="47">
        <f t="shared" si="122"/>
        <v>0</v>
      </c>
      <c r="M97" s="92">
        <f t="shared" si="134"/>
        <v>134030.51785915985</v>
      </c>
      <c r="N97" s="91">
        <f>IF($B97=P$20,'Construction Costs_2022'!$K$43+'Construction Costs_2022'!$K$7,0)</f>
        <v>0</v>
      </c>
      <c r="O97" s="38">
        <f t="shared" si="135"/>
        <v>1207840</v>
      </c>
      <c r="P97" s="38"/>
      <c r="Q97" s="45"/>
      <c r="R97" s="46">
        <f t="shared" si="110"/>
        <v>1207840</v>
      </c>
      <c r="S97" s="41">
        <f t="shared" si="119"/>
        <v>0</v>
      </c>
      <c r="T97" s="41">
        <f t="shared" si="119"/>
        <v>124347.04715493329</v>
      </c>
      <c r="U97" s="47">
        <f t="shared" si="104"/>
        <v>0</v>
      </c>
      <c r="V97" s="47">
        <f t="shared" si="106"/>
        <v>0</v>
      </c>
      <c r="W97" s="92">
        <f t="shared" si="136"/>
        <v>124347.04715493329</v>
      </c>
      <c r="X97" s="82">
        <f>IF($B97=AP$20,'OBC Cost _Van Oord 2022'!$E$30,0)</f>
        <v>0</v>
      </c>
      <c r="Y97" s="38">
        <f t="shared" si="137"/>
        <v>919280</v>
      </c>
      <c r="Z97" s="38"/>
      <c r="AA97" s="38"/>
      <c r="AB97" s="38"/>
      <c r="AC97" s="38"/>
      <c r="AD97" s="38"/>
      <c r="AE97" s="38"/>
      <c r="AF97" s="38"/>
      <c r="AG97" s="38"/>
      <c r="AH97" s="38"/>
      <c r="AI97" s="38"/>
      <c r="AJ97" s="38"/>
      <c r="AK97" s="38"/>
      <c r="AL97" s="38"/>
      <c r="AM97" s="38"/>
      <c r="AN97" s="38"/>
      <c r="AO97" s="38"/>
      <c r="AP97" s="38"/>
      <c r="AQ97" s="45">
        <f t="shared" si="146"/>
        <v>239012.80000000002</v>
      </c>
      <c r="AR97" s="45"/>
      <c r="AS97" s="46">
        <f t="shared" si="123"/>
        <v>1158292.8</v>
      </c>
      <c r="AT97" s="41">
        <f t="shared" si="124"/>
        <v>0</v>
      </c>
      <c r="AU97" s="41">
        <f t="shared" si="125"/>
        <v>94639.814469289864</v>
      </c>
      <c r="AV97" s="47"/>
      <c r="AW97" s="47"/>
      <c r="AX97" s="47"/>
      <c r="AY97" s="47"/>
      <c r="AZ97" s="47"/>
      <c r="BA97" s="47"/>
      <c r="BB97" s="47"/>
      <c r="BC97" s="47"/>
      <c r="BD97" s="47"/>
      <c r="BE97" s="47"/>
      <c r="BF97" s="47"/>
      <c r="BG97" s="47"/>
      <c r="BH97" s="47"/>
      <c r="BI97" s="47"/>
      <c r="BJ97" s="47"/>
      <c r="BK97" s="47"/>
      <c r="BL97" s="47"/>
      <c r="BM97" s="47">
        <f t="shared" si="141"/>
        <v>24606.351762015365</v>
      </c>
      <c r="BN97" s="92">
        <f t="shared" si="126"/>
        <v>119246.16623130522</v>
      </c>
      <c r="BO97" s="82">
        <f>IF($B97=BQ$20,'Construction Costs_2022'!$K$84+'Construction Costs_2022'!$K$7,0)</f>
        <v>0</v>
      </c>
      <c r="BP97" s="38">
        <f t="shared" si="127"/>
        <v>875260</v>
      </c>
      <c r="BQ97" s="38"/>
      <c r="BR97" s="45"/>
      <c r="BS97" s="46">
        <f t="shared" si="142"/>
        <v>875260</v>
      </c>
      <c r="BT97" s="41">
        <f t="shared" si="128"/>
        <v>0</v>
      </c>
      <c r="BU97" s="41">
        <f t="shared" si="128"/>
        <v>90107.958415706482</v>
      </c>
      <c r="BV97" s="47">
        <f t="shared" si="128"/>
        <v>0</v>
      </c>
      <c r="BW97" s="47">
        <f t="shared" si="120"/>
        <v>0</v>
      </c>
      <c r="BX97" s="92">
        <f t="shared" si="138"/>
        <v>90107.958415706482</v>
      </c>
      <c r="BY97" s="82">
        <f>IF($B97=CA$20,'Construction Costs_2022'!$K$104+'Construction Costs_2022'!$K$7,0)</f>
        <v>0</v>
      </c>
      <c r="BZ97" s="38">
        <f t="shared" si="129"/>
        <v>1004320</v>
      </c>
      <c r="CA97" s="38"/>
      <c r="CB97" s="45"/>
      <c r="CC97" s="46">
        <f t="shared" si="143"/>
        <v>1004320</v>
      </c>
      <c r="CD97" s="41">
        <f t="shared" si="130"/>
        <v>0</v>
      </c>
      <c r="CE97" s="41">
        <f t="shared" si="130"/>
        <v>103394.67677725742</v>
      </c>
      <c r="CF97" s="47">
        <f t="shared" si="130"/>
        <v>0</v>
      </c>
      <c r="CG97" s="47">
        <f t="shared" si="121"/>
        <v>0</v>
      </c>
      <c r="CH97" s="92">
        <f t="shared" si="139"/>
        <v>103394.67677725742</v>
      </c>
      <c r="CI97" s="82">
        <f>IF($B97=DA$20,'OBC Cost _Van Oord 2022'!$E$30,0)</f>
        <v>0</v>
      </c>
      <c r="CJ97" s="38">
        <f t="shared" si="140"/>
        <v>201530</v>
      </c>
      <c r="CK97" s="38"/>
      <c r="CL97" s="38"/>
      <c r="CM97" s="38"/>
      <c r="CN97" s="38"/>
      <c r="CO97" s="38"/>
      <c r="CP97" s="38"/>
      <c r="CQ97" s="38"/>
      <c r="CR97" s="38"/>
      <c r="CS97" s="38"/>
      <c r="CT97" s="38"/>
      <c r="CU97" s="38"/>
      <c r="CV97" s="38"/>
      <c r="CW97" s="38"/>
      <c r="CX97" s="38"/>
      <c r="CY97" s="38"/>
      <c r="CZ97" s="38"/>
      <c r="DA97" s="38"/>
      <c r="DB97" s="45">
        <f t="shared" si="147"/>
        <v>60459</v>
      </c>
      <c r="DC97" s="45"/>
      <c r="DD97" s="46">
        <f t="shared" si="117"/>
        <v>261989</v>
      </c>
      <c r="DE97" s="41">
        <f t="shared" si="144"/>
        <v>0</v>
      </c>
      <c r="DF97" s="41">
        <f t="shared" si="131"/>
        <v>20747.500010873711</v>
      </c>
      <c r="DG97" s="47"/>
      <c r="DH97" s="47"/>
      <c r="DI97" s="47"/>
      <c r="DJ97" s="47"/>
      <c r="DK97" s="47"/>
      <c r="DL97" s="47"/>
      <c r="DM97" s="47"/>
      <c r="DN97" s="47"/>
      <c r="DO97" s="47"/>
      <c r="DP97" s="47"/>
      <c r="DQ97" s="47"/>
      <c r="DR97" s="47"/>
      <c r="DS97" s="47"/>
      <c r="DT97" s="47"/>
      <c r="DU97" s="47"/>
      <c r="DV97" s="47"/>
      <c r="DW97" s="47"/>
      <c r="DX97" s="47">
        <f t="shared" si="145"/>
        <v>6224.2500032621138</v>
      </c>
      <c r="DY97" s="92">
        <f t="shared" si="118"/>
        <v>26971.750014135825</v>
      </c>
    </row>
    <row r="98" spans="2:129" s="3" customFormat="1" ht="12.75" x14ac:dyDescent="0.2">
      <c r="B98" s="12">
        <f t="shared" si="132"/>
        <v>73</v>
      </c>
      <c r="C98" s="13">
        <f t="shared" si="107"/>
        <v>9.9951391326612155E-2</v>
      </c>
      <c r="D98" s="82">
        <f>IF($B98=F$20,'Construction Costs_2022'!$K$22+'Construction Costs_2022'!$K$7,0)</f>
        <v>0</v>
      </c>
      <c r="E98" s="38">
        <f t="shared" si="133"/>
        <v>28800</v>
      </c>
      <c r="F98" s="38"/>
      <c r="G98" s="45"/>
      <c r="H98" s="46">
        <f t="shared" si="108"/>
        <v>28800</v>
      </c>
      <c r="I98" s="41">
        <f t="shared" si="122"/>
        <v>0</v>
      </c>
      <c r="J98" s="41">
        <f t="shared" si="122"/>
        <v>2878.6000702064302</v>
      </c>
      <c r="K98" s="47">
        <f t="shared" si="122"/>
        <v>0</v>
      </c>
      <c r="L98" s="47">
        <f t="shared" si="122"/>
        <v>0</v>
      </c>
      <c r="M98" s="92">
        <f t="shared" si="134"/>
        <v>2878.6000702064302</v>
      </c>
      <c r="N98" s="91">
        <f>IF($B98=P$20,'Construction Costs_2022'!$K$43+'Construction Costs_2022'!$K$7,0)</f>
        <v>0</v>
      </c>
      <c r="O98" s="38">
        <f t="shared" si="135"/>
        <v>43200</v>
      </c>
      <c r="P98" s="38"/>
      <c r="Q98" s="45"/>
      <c r="R98" s="46">
        <f t="shared" si="110"/>
        <v>43200</v>
      </c>
      <c r="S98" s="41">
        <f t="shared" si="119"/>
        <v>0</v>
      </c>
      <c r="T98" s="41">
        <f t="shared" si="119"/>
        <v>4317.9001053096454</v>
      </c>
      <c r="U98" s="47">
        <f t="shared" si="104"/>
        <v>0</v>
      </c>
      <c r="V98" s="47">
        <f t="shared" si="106"/>
        <v>0</v>
      </c>
      <c r="W98" s="92">
        <f t="shared" si="136"/>
        <v>4317.9001053096454</v>
      </c>
      <c r="X98" s="82">
        <f>IF($B98=AP$20,'OBC Cost _Van Oord 2022'!$E$30,0)</f>
        <v>0</v>
      </c>
      <c r="Y98" s="38">
        <f t="shared" si="137"/>
        <v>0</v>
      </c>
      <c r="Z98" s="38"/>
      <c r="AA98" s="38"/>
      <c r="AB98" s="38"/>
      <c r="AC98" s="38"/>
      <c r="AD98" s="38"/>
      <c r="AE98" s="38"/>
      <c r="AF98" s="38"/>
      <c r="AG98" s="38"/>
      <c r="AH98" s="38"/>
      <c r="AI98" s="38"/>
      <c r="AJ98" s="38"/>
      <c r="AK98" s="38"/>
      <c r="AL98" s="38"/>
      <c r="AM98" s="38"/>
      <c r="AN98" s="38"/>
      <c r="AO98" s="38"/>
      <c r="AP98" s="38"/>
      <c r="AQ98" s="45">
        <f t="shared" si="146"/>
        <v>0</v>
      </c>
      <c r="AR98" s="45"/>
      <c r="AS98" s="46">
        <f t="shared" si="123"/>
        <v>0</v>
      </c>
      <c r="AT98" s="41">
        <f t="shared" si="124"/>
        <v>0</v>
      </c>
      <c r="AU98" s="41">
        <f t="shared" si="125"/>
        <v>0</v>
      </c>
      <c r="AV98" s="47"/>
      <c r="AW98" s="47"/>
      <c r="AX98" s="47"/>
      <c r="AY98" s="47"/>
      <c r="AZ98" s="47"/>
      <c r="BA98" s="47"/>
      <c r="BB98" s="47"/>
      <c r="BC98" s="47"/>
      <c r="BD98" s="47"/>
      <c r="BE98" s="47"/>
      <c r="BF98" s="47"/>
      <c r="BG98" s="47"/>
      <c r="BH98" s="47"/>
      <c r="BI98" s="47"/>
      <c r="BJ98" s="47"/>
      <c r="BK98" s="47"/>
      <c r="BL98" s="47"/>
      <c r="BM98" s="47">
        <f t="shared" si="141"/>
        <v>0</v>
      </c>
      <c r="BN98" s="92">
        <f t="shared" si="126"/>
        <v>0</v>
      </c>
      <c r="BO98" s="82">
        <f>IF($B98=BQ$20,'Construction Costs_2022'!$K$84+'Construction Costs_2022'!$K$7,0)</f>
        <v>0</v>
      </c>
      <c r="BP98" s="38">
        <f t="shared" si="127"/>
        <v>0</v>
      </c>
      <c r="BQ98" s="38"/>
      <c r="BR98" s="45"/>
      <c r="BS98" s="46">
        <f t="shared" si="142"/>
        <v>0</v>
      </c>
      <c r="BT98" s="41">
        <f t="shared" si="128"/>
        <v>0</v>
      </c>
      <c r="BU98" s="41">
        <f t="shared" si="128"/>
        <v>0</v>
      </c>
      <c r="BV98" s="47">
        <f t="shared" si="128"/>
        <v>0</v>
      </c>
      <c r="BW98" s="47">
        <f t="shared" si="120"/>
        <v>0</v>
      </c>
      <c r="BX98" s="92">
        <f t="shared" si="138"/>
        <v>0</v>
      </c>
      <c r="BY98" s="82">
        <f>IF($B98=CA$20,'Construction Costs_2022'!$K$104+'Construction Costs_2022'!$K$7,0)</f>
        <v>0</v>
      </c>
      <c r="BZ98" s="38">
        <f t="shared" si="129"/>
        <v>0</v>
      </c>
      <c r="CA98" s="38"/>
      <c r="CB98" s="45"/>
      <c r="CC98" s="46">
        <f t="shared" si="143"/>
        <v>0</v>
      </c>
      <c r="CD98" s="41">
        <f t="shared" si="130"/>
        <v>0</v>
      </c>
      <c r="CE98" s="41">
        <f t="shared" si="130"/>
        <v>0</v>
      </c>
      <c r="CF98" s="47">
        <f t="shared" si="130"/>
        <v>0</v>
      </c>
      <c r="CG98" s="47">
        <f t="shared" si="121"/>
        <v>0</v>
      </c>
      <c r="CH98" s="92">
        <f t="shared" si="139"/>
        <v>0</v>
      </c>
      <c r="CI98" s="82">
        <f>IF($B98=DA$20,'OBC Cost _Van Oord 2022'!$E$30,0)</f>
        <v>0</v>
      </c>
      <c r="CJ98" s="38">
        <f t="shared" si="140"/>
        <v>0</v>
      </c>
      <c r="CK98" s="38"/>
      <c r="CL98" s="38"/>
      <c r="CM98" s="38"/>
      <c r="CN98" s="38"/>
      <c r="CO98" s="38"/>
      <c r="CP98" s="38"/>
      <c r="CQ98" s="38"/>
      <c r="CR98" s="38"/>
      <c r="CS98" s="38"/>
      <c r="CT98" s="38"/>
      <c r="CU98" s="38"/>
      <c r="CV98" s="38"/>
      <c r="CW98" s="38"/>
      <c r="CX98" s="38"/>
      <c r="CY98" s="38"/>
      <c r="CZ98" s="38"/>
      <c r="DA98" s="38"/>
      <c r="DB98" s="45">
        <f t="shared" si="147"/>
        <v>0</v>
      </c>
      <c r="DC98" s="45"/>
      <c r="DD98" s="46">
        <f t="shared" si="117"/>
        <v>0</v>
      </c>
      <c r="DE98" s="41">
        <f t="shared" si="144"/>
        <v>0</v>
      </c>
      <c r="DF98" s="41">
        <f t="shared" si="131"/>
        <v>0</v>
      </c>
      <c r="DG98" s="47"/>
      <c r="DH98" s="47"/>
      <c r="DI98" s="47"/>
      <c r="DJ98" s="47"/>
      <c r="DK98" s="47"/>
      <c r="DL98" s="47"/>
      <c r="DM98" s="47"/>
      <c r="DN98" s="47"/>
      <c r="DO98" s="47"/>
      <c r="DP98" s="47"/>
      <c r="DQ98" s="47"/>
      <c r="DR98" s="47"/>
      <c r="DS98" s="47"/>
      <c r="DT98" s="47"/>
      <c r="DU98" s="47"/>
      <c r="DV98" s="47"/>
      <c r="DW98" s="47"/>
      <c r="DX98" s="47">
        <f t="shared" si="145"/>
        <v>0</v>
      </c>
      <c r="DY98" s="92">
        <f t="shared" si="118"/>
        <v>0</v>
      </c>
    </row>
    <row r="99" spans="2:129" s="3" customFormat="1" ht="12.75" x14ac:dyDescent="0.2">
      <c r="B99" s="12">
        <f t="shared" si="132"/>
        <v>74</v>
      </c>
      <c r="C99" s="13">
        <f t="shared" si="107"/>
        <v>9.7040185753992383E-2</v>
      </c>
      <c r="D99" s="82">
        <f>IF($B99=F$20,'Construction Costs_2022'!$K$22+'Construction Costs_2022'!$K$7,0)</f>
        <v>0</v>
      </c>
      <c r="E99" s="38">
        <f t="shared" si="133"/>
        <v>28800</v>
      </c>
      <c r="F99" s="38"/>
      <c r="G99" s="45"/>
      <c r="H99" s="46">
        <f t="shared" si="108"/>
        <v>28800</v>
      </c>
      <c r="I99" s="41">
        <f t="shared" si="122"/>
        <v>0</v>
      </c>
      <c r="J99" s="41">
        <f t="shared" si="122"/>
        <v>2794.7573497149806</v>
      </c>
      <c r="K99" s="47">
        <f t="shared" si="122"/>
        <v>0</v>
      </c>
      <c r="L99" s="47">
        <f t="shared" si="122"/>
        <v>0</v>
      </c>
      <c r="M99" s="92">
        <f t="shared" si="134"/>
        <v>2794.7573497149806</v>
      </c>
      <c r="N99" s="91">
        <f>IF($B99=P$20,'Construction Costs_2022'!$K$43+'Construction Costs_2022'!$K$7,0)</f>
        <v>0</v>
      </c>
      <c r="O99" s="38">
        <f t="shared" si="135"/>
        <v>43200</v>
      </c>
      <c r="P99" s="38"/>
      <c r="Q99" s="45"/>
      <c r="R99" s="46">
        <f t="shared" si="110"/>
        <v>43200</v>
      </c>
      <c r="S99" s="41">
        <f t="shared" si="119"/>
        <v>0</v>
      </c>
      <c r="T99" s="41">
        <f t="shared" si="119"/>
        <v>4192.1360245724709</v>
      </c>
      <c r="U99" s="47">
        <f t="shared" si="104"/>
        <v>0</v>
      </c>
      <c r="V99" s="47">
        <f t="shared" si="106"/>
        <v>0</v>
      </c>
      <c r="W99" s="92">
        <f t="shared" si="136"/>
        <v>4192.1360245724709</v>
      </c>
      <c r="X99" s="82">
        <f>IF($B99=AP$20,'OBC Cost _Van Oord 2022'!$E$30,0)</f>
        <v>0</v>
      </c>
      <c r="Y99" s="38">
        <f t="shared" si="137"/>
        <v>0</v>
      </c>
      <c r="Z99" s="38"/>
      <c r="AA99" s="38"/>
      <c r="AB99" s="38"/>
      <c r="AC99" s="38"/>
      <c r="AD99" s="38"/>
      <c r="AE99" s="38"/>
      <c r="AF99" s="38"/>
      <c r="AG99" s="38"/>
      <c r="AH99" s="38"/>
      <c r="AI99" s="38"/>
      <c r="AJ99" s="38"/>
      <c r="AK99" s="38"/>
      <c r="AL99" s="38"/>
      <c r="AM99" s="38"/>
      <c r="AN99" s="38"/>
      <c r="AO99" s="38"/>
      <c r="AP99" s="38"/>
      <c r="AQ99" s="45">
        <f t="shared" si="146"/>
        <v>0</v>
      </c>
      <c r="AR99" s="45"/>
      <c r="AS99" s="46">
        <f t="shared" si="123"/>
        <v>0</v>
      </c>
      <c r="AT99" s="41">
        <f t="shared" si="124"/>
        <v>0</v>
      </c>
      <c r="AU99" s="41">
        <f t="shared" si="125"/>
        <v>0</v>
      </c>
      <c r="AV99" s="47"/>
      <c r="AW99" s="47"/>
      <c r="AX99" s="47"/>
      <c r="AY99" s="47"/>
      <c r="AZ99" s="47"/>
      <c r="BA99" s="47"/>
      <c r="BB99" s="47"/>
      <c r="BC99" s="47"/>
      <c r="BD99" s="47"/>
      <c r="BE99" s="47"/>
      <c r="BF99" s="47"/>
      <c r="BG99" s="47"/>
      <c r="BH99" s="47"/>
      <c r="BI99" s="47"/>
      <c r="BJ99" s="47"/>
      <c r="BK99" s="47"/>
      <c r="BL99" s="47"/>
      <c r="BM99" s="47">
        <f t="shared" si="141"/>
        <v>0</v>
      </c>
      <c r="BN99" s="92">
        <f t="shared" si="126"/>
        <v>0</v>
      </c>
      <c r="BO99" s="82">
        <f>IF($B99=BQ$20,'Construction Costs_2022'!$K$84+'Construction Costs_2022'!$K$7,0)</f>
        <v>0</v>
      </c>
      <c r="BP99" s="38">
        <f t="shared" si="127"/>
        <v>0</v>
      </c>
      <c r="BQ99" s="38"/>
      <c r="BR99" s="45"/>
      <c r="BS99" s="46">
        <f t="shared" si="142"/>
        <v>0</v>
      </c>
      <c r="BT99" s="41">
        <f t="shared" si="128"/>
        <v>0</v>
      </c>
      <c r="BU99" s="41">
        <f t="shared" si="128"/>
        <v>0</v>
      </c>
      <c r="BV99" s="47">
        <f t="shared" si="128"/>
        <v>0</v>
      </c>
      <c r="BW99" s="47">
        <f t="shared" si="120"/>
        <v>0</v>
      </c>
      <c r="BX99" s="92">
        <f t="shared" si="138"/>
        <v>0</v>
      </c>
      <c r="BY99" s="82">
        <f>IF($B99=CA$20,'Construction Costs_2022'!$K$104+'Construction Costs_2022'!$K$7,0)</f>
        <v>0</v>
      </c>
      <c r="BZ99" s="38">
        <f t="shared" si="129"/>
        <v>0</v>
      </c>
      <c r="CA99" s="38"/>
      <c r="CB99" s="45"/>
      <c r="CC99" s="46">
        <f t="shared" si="143"/>
        <v>0</v>
      </c>
      <c r="CD99" s="41">
        <f t="shared" si="130"/>
        <v>0</v>
      </c>
      <c r="CE99" s="41">
        <f t="shared" si="130"/>
        <v>0</v>
      </c>
      <c r="CF99" s="47">
        <f t="shared" si="130"/>
        <v>0</v>
      </c>
      <c r="CG99" s="47">
        <f t="shared" si="121"/>
        <v>0</v>
      </c>
      <c r="CH99" s="92">
        <f t="shared" si="139"/>
        <v>0</v>
      </c>
      <c r="CI99" s="82">
        <f>IF($B99=DA$20,'OBC Cost _Van Oord 2022'!$E$30,0)</f>
        <v>0</v>
      </c>
      <c r="CJ99" s="38">
        <f t="shared" si="140"/>
        <v>0</v>
      </c>
      <c r="CK99" s="38"/>
      <c r="CL99" s="38"/>
      <c r="CM99" s="38"/>
      <c r="CN99" s="38"/>
      <c r="CO99" s="38"/>
      <c r="CP99" s="38"/>
      <c r="CQ99" s="38"/>
      <c r="CR99" s="38"/>
      <c r="CS99" s="38"/>
      <c r="CT99" s="38"/>
      <c r="CU99" s="38"/>
      <c r="CV99" s="38"/>
      <c r="CW99" s="38"/>
      <c r="CX99" s="38"/>
      <c r="CY99" s="38"/>
      <c r="CZ99" s="38"/>
      <c r="DA99" s="38"/>
      <c r="DB99" s="45">
        <f t="shared" si="147"/>
        <v>0</v>
      </c>
      <c r="DC99" s="45"/>
      <c r="DD99" s="46">
        <f t="shared" si="117"/>
        <v>0</v>
      </c>
      <c r="DE99" s="41">
        <f t="shared" si="144"/>
        <v>0</v>
      </c>
      <c r="DF99" s="41">
        <f t="shared" si="131"/>
        <v>0</v>
      </c>
      <c r="DG99" s="47"/>
      <c r="DH99" s="47"/>
      <c r="DI99" s="47"/>
      <c r="DJ99" s="47"/>
      <c r="DK99" s="47"/>
      <c r="DL99" s="47"/>
      <c r="DM99" s="47"/>
      <c r="DN99" s="47"/>
      <c r="DO99" s="47"/>
      <c r="DP99" s="47"/>
      <c r="DQ99" s="47"/>
      <c r="DR99" s="47"/>
      <c r="DS99" s="47"/>
      <c r="DT99" s="47"/>
      <c r="DU99" s="47"/>
      <c r="DV99" s="47"/>
      <c r="DW99" s="47"/>
      <c r="DX99" s="47">
        <f t="shared" si="145"/>
        <v>0</v>
      </c>
      <c r="DY99" s="92">
        <f t="shared" si="118"/>
        <v>0</v>
      </c>
    </row>
    <row r="100" spans="2:129" s="3" customFormat="1" ht="12.75" x14ac:dyDescent="0.2">
      <c r="B100" s="12">
        <f t="shared" si="132"/>
        <v>75</v>
      </c>
      <c r="C100" s="13">
        <f t="shared" si="107"/>
        <v>9.4213772576691626E-2</v>
      </c>
      <c r="D100" s="82">
        <f>IF($B100=F$20,'Construction Costs_2022'!$K$22+'Construction Costs_2022'!$K$7,0)</f>
        <v>0</v>
      </c>
      <c r="E100" s="38">
        <f t="shared" si="133"/>
        <v>28800</v>
      </c>
      <c r="F100" s="38"/>
      <c r="G100" s="45"/>
      <c r="H100" s="46">
        <f t="shared" si="108"/>
        <v>28800</v>
      </c>
      <c r="I100" s="41">
        <f t="shared" si="122"/>
        <v>0</v>
      </c>
      <c r="J100" s="41">
        <f t="shared" si="122"/>
        <v>2713.3566502087187</v>
      </c>
      <c r="K100" s="47">
        <f t="shared" si="122"/>
        <v>0</v>
      </c>
      <c r="L100" s="47">
        <f t="shared" si="122"/>
        <v>0</v>
      </c>
      <c r="M100" s="92">
        <f t="shared" si="134"/>
        <v>2713.3566502087187</v>
      </c>
      <c r="N100" s="91">
        <f>IF($B100=P$20,'Construction Costs_2022'!$K$43+'Construction Costs_2022'!$K$7,0)</f>
        <v>0</v>
      </c>
      <c r="O100" s="38">
        <f t="shared" si="135"/>
        <v>43200</v>
      </c>
      <c r="P100" s="38"/>
      <c r="Q100" s="45"/>
      <c r="R100" s="46">
        <f t="shared" si="110"/>
        <v>43200</v>
      </c>
      <c r="S100" s="41">
        <f t="shared" si="119"/>
        <v>0</v>
      </c>
      <c r="T100" s="41">
        <f t="shared" si="119"/>
        <v>4070.0349753130781</v>
      </c>
      <c r="U100" s="47">
        <f t="shared" si="104"/>
        <v>0</v>
      </c>
      <c r="V100" s="47">
        <f t="shared" si="106"/>
        <v>0</v>
      </c>
      <c r="W100" s="92">
        <f t="shared" si="136"/>
        <v>4070.0349753130781</v>
      </c>
      <c r="X100" s="82">
        <f>IF($B100=AP$20,'OBC Cost _Van Oord 2022'!$E$30,0)</f>
        <v>0</v>
      </c>
      <c r="Y100" s="38">
        <f t="shared" si="137"/>
        <v>0</v>
      </c>
      <c r="Z100" s="38"/>
      <c r="AA100" s="38"/>
      <c r="AB100" s="38"/>
      <c r="AC100" s="38"/>
      <c r="AD100" s="38"/>
      <c r="AE100" s="38"/>
      <c r="AF100" s="38"/>
      <c r="AG100" s="38"/>
      <c r="AH100" s="38"/>
      <c r="AI100" s="38"/>
      <c r="AJ100" s="38"/>
      <c r="AK100" s="38"/>
      <c r="AL100" s="38"/>
      <c r="AM100" s="38"/>
      <c r="AN100" s="38"/>
      <c r="AO100" s="38"/>
      <c r="AP100" s="38"/>
      <c r="AQ100" s="45">
        <f t="shared" si="146"/>
        <v>0</v>
      </c>
      <c r="AR100" s="45"/>
      <c r="AS100" s="46">
        <f t="shared" si="123"/>
        <v>0</v>
      </c>
      <c r="AT100" s="41">
        <f t="shared" si="124"/>
        <v>0</v>
      </c>
      <c r="AU100" s="41">
        <f t="shared" si="125"/>
        <v>0</v>
      </c>
      <c r="AV100" s="47"/>
      <c r="AW100" s="47"/>
      <c r="AX100" s="47"/>
      <c r="AY100" s="47"/>
      <c r="AZ100" s="47"/>
      <c r="BA100" s="47"/>
      <c r="BB100" s="47"/>
      <c r="BC100" s="47"/>
      <c r="BD100" s="47"/>
      <c r="BE100" s="47"/>
      <c r="BF100" s="47"/>
      <c r="BG100" s="47"/>
      <c r="BH100" s="47"/>
      <c r="BI100" s="47"/>
      <c r="BJ100" s="47"/>
      <c r="BK100" s="47"/>
      <c r="BL100" s="47"/>
      <c r="BM100" s="47">
        <f t="shared" si="141"/>
        <v>0</v>
      </c>
      <c r="BN100" s="92">
        <f t="shared" si="126"/>
        <v>0</v>
      </c>
      <c r="BO100" s="82">
        <f>IF($B100=BQ$20,'Construction Costs_2022'!$K$84+'Construction Costs_2022'!$K$7,0)</f>
        <v>0</v>
      </c>
      <c r="BP100" s="38">
        <f t="shared" si="127"/>
        <v>0</v>
      </c>
      <c r="BQ100" s="38"/>
      <c r="BR100" s="45"/>
      <c r="BS100" s="46">
        <f t="shared" si="142"/>
        <v>0</v>
      </c>
      <c r="BT100" s="41">
        <f t="shared" si="128"/>
        <v>0</v>
      </c>
      <c r="BU100" s="41">
        <f t="shared" si="128"/>
        <v>0</v>
      </c>
      <c r="BV100" s="47">
        <f t="shared" si="128"/>
        <v>0</v>
      </c>
      <c r="BW100" s="47">
        <f t="shared" si="120"/>
        <v>0</v>
      </c>
      <c r="BX100" s="92">
        <f t="shared" si="138"/>
        <v>0</v>
      </c>
      <c r="BY100" s="82">
        <f>IF($B100=CA$20,'Construction Costs_2022'!$K$104+'Construction Costs_2022'!$K$7,0)</f>
        <v>0</v>
      </c>
      <c r="BZ100" s="38">
        <f t="shared" si="129"/>
        <v>0</v>
      </c>
      <c r="CA100" s="38"/>
      <c r="CB100" s="45"/>
      <c r="CC100" s="46">
        <f t="shared" si="143"/>
        <v>0</v>
      </c>
      <c r="CD100" s="41">
        <f t="shared" si="130"/>
        <v>0</v>
      </c>
      <c r="CE100" s="41">
        <f t="shared" si="130"/>
        <v>0</v>
      </c>
      <c r="CF100" s="47">
        <f t="shared" si="130"/>
        <v>0</v>
      </c>
      <c r="CG100" s="47">
        <f t="shared" si="121"/>
        <v>0</v>
      </c>
      <c r="CH100" s="92">
        <f t="shared" si="139"/>
        <v>0</v>
      </c>
      <c r="CI100" s="82">
        <f>IF($B100=DA$20,'OBC Cost _Van Oord 2022'!$E$30,0)</f>
        <v>0</v>
      </c>
      <c r="CJ100" s="38">
        <f t="shared" si="140"/>
        <v>0</v>
      </c>
      <c r="CK100" s="38"/>
      <c r="CL100" s="38"/>
      <c r="CM100" s="38"/>
      <c r="CN100" s="38"/>
      <c r="CO100" s="38"/>
      <c r="CP100" s="38"/>
      <c r="CQ100" s="38"/>
      <c r="CR100" s="38"/>
      <c r="CS100" s="38"/>
      <c r="CT100" s="38"/>
      <c r="CU100" s="38"/>
      <c r="CV100" s="38"/>
      <c r="CW100" s="38"/>
      <c r="CX100" s="38"/>
      <c r="CY100" s="38"/>
      <c r="CZ100" s="38"/>
      <c r="DA100" s="38"/>
      <c r="DB100" s="45">
        <f t="shared" si="147"/>
        <v>0</v>
      </c>
      <c r="DC100" s="45"/>
      <c r="DD100" s="46">
        <f t="shared" si="117"/>
        <v>0</v>
      </c>
      <c r="DE100" s="41">
        <f t="shared" si="144"/>
        <v>0</v>
      </c>
      <c r="DF100" s="41">
        <f t="shared" si="131"/>
        <v>0</v>
      </c>
      <c r="DG100" s="47"/>
      <c r="DH100" s="47"/>
      <c r="DI100" s="47"/>
      <c r="DJ100" s="47"/>
      <c r="DK100" s="47"/>
      <c r="DL100" s="47"/>
      <c r="DM100" s="47"/>
      <c r="DN100" s="47"/>
      <c r="DO100" s="47"/>
      <c r="DP100" s="47"/>
      <c r="DQ100" s="47"/>
      <c r="DR100" s="47"/>
      <c r="DS100" s="47"/>
      <c r="DT100" s="47"/>
      <c r="DU100" s="47"/>
      <c r="DV100" s="47"/>
      <c r="DW100" s="47"/>
      <c r="DX100" s="47">
        <f t="shared" si="145"/>
        <v>0</v>
      </c>
      <c r="DY100" s="92">
        <f t="shared" si="118"/>
        <v>0</v>
      </c>
    </row>
    <row r="101" spans="2:129" s="3" customFormat="1" ht="12.75" x14ac:dyDescent="0.2">
      <c r="B101" s="12">
        <f t="shared" si="132"/>
        <v>76</v>
      </c>
      <c r="C101" s="13">
        <f t="shared" ref="C101:C124" si="148">C100/(1+$E$9-1%)</f>
        <v>9.1915875684577208E-2</v>
      </c>
      <c r="D101" s="82">
        <f>IF($B101=F$20,'Construction Costs_2022'!$K$22+'Construction Costs_2022'!$K$7,0)</f>
        <v>0</v>
      </c>
      <c r="E101" s="38">
        <f t="shared" si="133"/>
        <v>28800</v>
      </c>
      <c r="F101" s="38"/>
      <c r="G101" s="45"/>
      <c r="H101" s="46">
        <f t="shared" si="108"/>
        <v>28800</v>
      </c>
      <c r="I101" s="41">
        <f t="shared" si="122"/>
        <v>0</v>
      </c>
      <c r="J101" s="41">
        <f t="shared" si="122"/>
        <v>2647.1772197158234</v>
      </c>
      <c r="K101" s="47">
        <f t="shared" si="122"/>
        <v>0</v>
      </c>
      <c r="L101" s="47">
        <f t="shared" si="122"/>
        <v>0</v>
      </c>
      <c r="M101" s="92">
        <f t="shared" si="134"/>
        <v>2647.1772197158234</v>
      </c>
      <c r="N101" s="91">
        <f>IF($B101=P$20,'Construction Costs_2022'!$K$43+'Construction Costs_2022'!$K$7,0)</f>
        <v>0</v>
      </c>
      <c r="O101" s="38">
        <f t="shared" si="135"/>
        <v>43200</v>
      </c>
      <c r="P101" s="38"/>
      <c r="Q101" s="45"/>
      <c r="R101" s="46">
        <f t="shared" si="110"/>
        <v>43200</v>
      </c>
      <c r="S101" s="41">
        <f t="shared" si="119"/>
        <v>0</v>
      </c>
      <c r="T101" s="41">
        <f t="shared" si="119"/>
        <v>3970.7658295737356</v>
      </c>
      <c r="U101" s="47">
        <f t="shared" si="104"/>
        <v>0</v>
      </c>
      <c r="V101" s="47">
        <f t="shared" si="106"/>
        <v>0</v>
      </c>
      <c r="W101" s="92">
        <f t="shared" si="136"/>
        <v>3970.7658295737356</v>
      </c>
      <c r="X101" s="82">
        <f>IF($B101=AP$20,'OBC Cost _Van Oord 2022'!$E$30,0)</f>
        <v>0</v>
      </c>
      <c r="Y101" s="38">
        <f t="shared" si="137"/>
        <v>0</v>
      </c>
      <c r="Z101" s="38"/>
      <c r="AA101" s="38"/>
      <c r="AB101" s="38"/>
      <c r="AC101" s="38"/>
      <c r="AD101" s="38"/>
      <c r="AE101" s="38"/>
      <c r="AF101" s="38"/>
      <c r="AG101" s="38"/>
      <c r="AH101" s="38"/>
      <c r="AI101" s="38"/>
      <c r="AJ101" s="38"/>
      <c r="AK101" s="38"/>
      <c r="AL101" s="38"/>
      <c r="AM101" s="38"/>
      <c r="AN101" s="38"/>
      <c r="AO101" s="38"/>
      <c r="AP101" s="38"/>
      <c r="AQ101" s="45">
        <f t="shared" si="146"/>
        <v>0</v>
      </c>
      <c r="AR101" s="45"/>
      <c r="AS101" s="46">
        <f t="shared" si="123"/>
        <v>0</v>
      </c>
      <c r="AT101" s="41">
        <f t="shared" si="124"/>
        <v>0</v>
      </c>
      <c r="AU101" s="41">
        <f t="shared" si="125"/>
        <v>0</v>
      </c>
      <c r="AV101" s="47"/>
      <c r="AW101" s="47"/>
      <c r="AX101" s="47"/>
      <c r="AY101" s="47"/>
      <c r="AZ101" s="47"/>
      <c r="BA101" s="47"/>
      <c r="BB101" s="47"/>
      <c r="BC101" s="47"/>
      <c r="BD101" s="47"/>
      <c r="BE101" s="47"/>
      <c r="BF101" s="47"/>
      <c r="BG101" s="47"/>
      <c r="BH101" s="47"/>
      <c r="BI101" s="47"/>
      <c r="BJ101" s="47"/>
      <c r="BK101" s="47"/>
      <c r="BL101" s="47"/>
      <c r="BM101" s="47">
        <f t="shared" si="141"/>
        <v>0</v>
      </c>
      <c r="BN101" s="92">
        <f t="shared" si="126"/>
        <v>0</v>
      </c>
      <c r="BO101" s="82">
        <f>IF($B101=BQ$20,'Construction Costs_2022'!$K$84+'Construction Costs_2022'!$K$7,0)</f>
        <v>0</v>
      </c>
      <c r="BP101" s="38">
        <f t="shared" si="127"/>
        <v>0</v>
      </c>
      <c r="BQ101" s="38"/>
      <c r="BR101" s="45"/>
      <c r="BS101" s="46">
        <f t="shared" si="142"/>
        <v>0</v>
      </c>
      <c r="BT101" s="41">
        <f t="shared" si="128"/>
        <v>0</v>
      </c>
      <c r="BU101" s="41">
        <f t="shared" si="128"/>
        <v>0</v>
      </c>
      <c r="BV101" s="47">
        <f t="shared" si="128"/>
        <v>0</v>
      </c>
      <c r="BW101" s="47">
        <f t="shared" si="120"/>
        <v>0</v>
      </c>
      <c r="BX101" s="92">
        <f t="shared" si="138"/>
        <v>0</v>
      </c>
      <c r="BY101" s="82">
        <f>IF($B101=CA$20,'Construction Costs_2022'!$K$104+'Construction Costs_2022'!$K$7,0)</f>
        <v>0</v>
      </c>
      <c r="BZ101" s="38">
        <f t="shared" si="129"/>
        <v>0</v>
      </c>
      <c r="CA101" s="38"/>
      <c r="CB101" s="45"/>
      <c r="CC101" s="46">
        <f t="shared" si="143"/>
        <v>0</v>
      </c>
      <c r="CD101" s="41">
        <f t="shared" si="130"/>
        <v>0</v>
      </c>
      <c r="CE101" s="41">
        <f t="shared" si="130"/>
        <v>0</v>
      </c>
      <c r="CF101" s="47">
        <f t="shared" si="130"/>
        <v>0</v>
      </c>
      <c r="CG101" s="47">
        <f t="shared" si="121"/>
        <v>0</v>
      </c>
      <c r="CH101" s="92">
        <f t="shared" si="139"/>
        <v>0</v>
      </c>
      <c r="CI101" s="82">
        <f>IF($B101=DA$20,'OBC Cost _Van Oord 2022'!$E$30,0)</f>
        <v>0</v>
      </c>
      <c r="CJ101" s="38">
        <f t="shared" si="140"/>
        <v>0</v>
      </c>
      <c r="CK101" s="38"/>
      <c r="CL101" s="38"/>
      <c r="CM101" s="38"/>
      <c r="CN101" s="38"/>
      <c r="CO101" s="38"/>
      <c r="CP101" s="38"/>
      <c r="CQ101" s="38"/>
      <c r="CR101" s="38"/>
      <c r="CS101" s="38"/>
      <c r="CT101" s="38"/>
      <c r="CU101" s="38"/>
      <c r="CV101" s="38"/>
      <c r="CW101" s="38"/>
      <c r="CX101" s="38"/>
      <c r="CY101" s="38"/>
      <c r="CZ101" s="38"/>
      <c r="DA101" s="38"/>
      <c r="DB101" s="45">
        <f t="shared" si="147"/>
        <v>0</v>
      </c>
      <c r="DC101" s="45"/>
      <c r="DD101" s="46">
        <f t="shared" si="117"/>
        <v>0</v>
      </c>
      <c r="DE101" s="41">
        <f t="shared" si="144"/>
        <v>0</v>
      </c>
      <c r="DF101" s="41">
        <f t="shared" si="131"/>
        <v>0</v>
      </c>
      <c r="DG101" s="47"/>
      <c r="DH101" s="47"/>
      <c r="DI101" s="47"/>
      <c r="DJ101" s="47"/>
      <c r="DK101" s="47"/>
      <c r="DL101" s="47"/>
      <c r="DM101" s="47"/>
      <c r="DN101" s="47"/>
      <c r="DO101" s="47"/>
      <c r="DP101" s="47"/>
      <c r="DQ101" s="47"/>
      <c r="DR101" s="47"/>
      <c r="DS101" s="47"/>
      <c r="DT101" s="47"/>
      <c r="DU101" s="47"/>
      <c r="DV101" s="47"/>
      <c r="DW101" s="47"/>
      <c r="DX101" s="47">
        <f t="shared" si="145"/>
        <v>0</v>
      </c>
      <c r="DY101" s="92">
        <f t="shared" si="118"/>
        <v>0</v>
      </c>
    </row>
    <row r="102" spans="2:129" s="3" customFormat="1" ht="12.75" x14ac:dyDescent="0.2">
      <c r="B102" s="12">
        <f t="shared" si="132"/>
        <v>77</v>
      </c>
      <c r="C102" s="13">
        <f t="shared" si="148"/>
        <v>8.9674025058124107E-2</v>
      </c>
      <c r="D102" s="82">
        <f>IF($B102=F$20,'Construction Costs_2022'!$K$22+'Construction Costs_2022'!$K$7,0)</f>
        <v>0</v>
      </c>
      <c r="E102" s="38">
        <f t="shared" si="133"/>
        <v>28800</v>
      </c>
      <c r="F102" s="38"/>
      <c r="G102" s="45"/>
      <c r="H102" s="46">
        <f t="shared" si="108"/>
        <v>28800</v>
      </c>
      <c r="I102" s="41">
        <f t="shared" si="122"/>
        <v>0</v>
      </c>
      <c r="J102" s="41">
        <f t="shared" si="122"/>
        <v>2582.6119216739744</v>
      </c>
      <c r="K102" s="47">
        <f t="shared" si="122"/>
        <v>0</v>
      </c>
      <c r="L102" s="47">
        <f t="shared" si="122"/>
        <v>0</v>
      </c>
      <c r="M102" s="92">
        <f t="shared" si="134"/>
        <v>2582.6119216739744</v>
      </c>
      <c r="N102" s="91">
        <f>IF($B102=P$20,'Construction Costs_2022'!$K$43+'Construction Costs_2022'!$K$7,0)</f>
        <v>0</v>
      </c>
      <c r="O102" s="38">
        <f t="shared" si="135"/>
        <v>43200</v>
      </c>
      <c r="P102" s="38"/>
      <c r="Q102" s="45"/>
      <c r="R102" s="46">
        <f t="shared" si="110"/>
        <v>43200</v>
      </c>
      <c r="S102" s="41">
        <f t="shared" si="119"/>
        <v>0</v>
      </c>
      <c r="T102" s="41">
        <f t="shared" si="119"/>
        <v>3873.9178825109616</v>
      </c>
      <c r="U102" s="47">
        <f t="shared" ref="U102:U124" si="149">P103*$C102</f>
        <v>0</v>
      </c>
      <c r="V102" s="47">
        <f t="shared" si="106"/>
        <v>0</v>
      </c>
      <c r="W102" s="92">
        <f t="shared" si="136"/>
        <v>3873.9178825109616</v>
      </c>
      <c r="X102" s="82">
        <f>IF($B102=AP$20,'OBC Cost _Van Oord 2022'!$E$30,0)</f>
        <v>0</v>
      </c>
      <c r="Y102" s="38">
        <f t="shared" si="137"/>
        <v>86400</v>
      </c>
      <c r="Z102" s="38"/>
      <c r="AA102" s="38"/>
      <c r="AB102" s="38"/>
      <c r="AC102" s="38"/>
      <c r="AD102" s="38"/>
      <c r="AE102" s="38"/>
      <c r="AF102" s="38"/>
      <c r="AG102" s="38"/>
      <c r="AH102" s="38"/>
      <c r="AI102" s="38"/>
      <c r="AJ102" s="38"/>
      <c r="AK102" s="38"/>
      <c r="AL102" s="38"/>
      <c r="AM102" s="38"/>
      <c r="AN102" s="38"/>
      <c r="AO102" s="38"/>
      <c r="AP102" s="38"/>
      <c r="AQ102" s="45">
        <f t="shared" si="146"/>
        <v>22464</v>
      </c>
      <c r="AR102" s="45"/>
      <c r="AS102" s="46">
        <f t="shared" si="123"/>
        <v>108864</v>
      </c>
      <c r="AT102" s="41">
        <f t="shared" si="124"/>
        <v>0</v>
      </c>
      <c r="AU102" s="41">
        <f t="shared" si="125"/>
        <v>7747.8357650219232</v>
      </c>
      <c r="AV102" s="47"/>
      <c r="AW102" s="47"/>
      <c r="AX102" s="47"/>
      <c r="AY102" s="47"/>
      <c r="AZ102" s="47"/>
      <c r="BA102" s="47"/>
      <c r="BB102" s="47"/>
      <c r="BC102" s="47"/>
      <c r="BD102" s="47"/>
      <c r="BE102" s="47"/>
      <c r="BF102" s="47"/>
      <c r="BG102" s="47"/>
      <c r="BH102" s="47"/>
      <c r="BI102" s="47"/>
      <c r="BJ102" s="47"/>
      <c r="BK102" s="47"/>
      <c r="BL102" s="47"/>
      <c r="BM102" s="47">
        <f t="shared" si="141"/>
        <v>2014.4372989056999</v>
      </c>
      <c r="BN102" s="92">
        <f t="shared" si="126"/>
        <v>9762.2730639276233</v>
      </c>
      <c r="BO102" s="82">
        <f>IF($B102=BQ$20,'Construction Costs_2022'!$K$84+'Construction Costs_2022'!$K$7,0)</f>
        <v>0</v>
      </c>
      <c r="BP102" s="38">
        <f t="shared" si="127"/>
        <v>100800</v>
      </c>
      <c r="BQ102" s="38"/>
      <c r="BR102" s="45"/>
      <c r="BS102" s="46">
        <f t="shared" si="142"/>
        <v>100800</v>
      </c>
      <c r="BT102" s="41">
        <f t="shared" si="128"/>
        <v>0</v>
      </c>
      <c r="BU102" s="41">
        <f t="shared" si="128"/>
        <v>9039.1417258589099</v>
      </c>
      <c r="BV102" s="47">
        <f t="shared" si="128"/>
        <v>0</v>
      </c>
      <c r="BW102" s="47">
        <f t="shared" si="120"/>
        <v>0</v>
      </c>
      <c r="BX102" s="92">
        <f t="shared" si="138"/>
        <v>9039.1417258589099</v>
      </c>
      <c r="BY102" s="82">
        <f>IF($B102=CA$20,'Construction Costs_2022'!$K$104+'Construction Costs_2022'!$K$7,0)</f>
        <v>0</v>
      </c>
      <c r="BZ102" s="38">
        <f t="shared" si="129"/>
        <v>57600</v>
      </c>
      <c r="CA102" s="38"/>
      <c r="CB102" s="45"/>
      <c r="CC102" s="46">
        <f t="shared" si="143"/>
        <v>57600</v>
      </c>
      <c r="CD102" s="41">
        <f t="shared" si="130"/>
        <v>0</v>
      </c>
      <c r="CE102" s="41">
        <f t="shared" si="130"/>
        <v>5165.2238433479488</v>
      </c>
      <c r="CF102" s="47">
        <f t="shared" si="130"/>
        <v>0</v>
      </c>
      <c r="CG102" s="47">
        <f t="shared" si="121"/>
        <v>0</v>
      </c>
      <c r="CH102" s="92">
        <f t="shared" si="139"/>
        <v>5165.2238433479488</v>
      </c>
      <c r="CI102" s="82">
        <f>IF($B102=DA$20,'OBC Cost _Van Oord 2022'!$E$30,0)</f>
        <v>0</v>
      </c>
      <c r="CJ102" s="38">
        <f t="shared" si="140"/>
        <v>86400</v>
      </c>
      <c r="CK102" s="38"/>
      <c r="CL102" s="38"/>
      <c r="CM102" s="38"/>
      <c r="CN102" s="38"/>
      <c r="CO102" s="38"/>
      <c r="CP102" s="38"/>
      <c r="CQ102" s="38"/>
      <c r="CR102" s="38"/>
      <c r="CS102" s="38"/>
      <c r="CT102" s="38"/>
      <c r="CU102" s="38"/>
      <c r="CV102" s="38"/>
      <c r="CW102" s="38"/>
      <c r="CX102" s="38"/>
      <c r="CY102" s="38"/>
      <c r="CZ102" s="38"/>
      <c r="DA102" s="38"/>
      <c r="DB102" s="45">
        <f t="shared" si="147"/>
        <v>25920</v>
      </c>
      <c r="DC102" s="45"/>
      <c r="DD102" s="46">
        <f t="shared" si="117"/>
        <v>112320</v>
      </c>
      <c r="DE102" s="41">
        <f t="shared" si="144"/>
        <v>0</v>
      </c>
      <c r="DF102" s="41">
        <f t="shared" si="131"/>
        <v>7747.8357650219232</v>
      </c>
      <c r="DG102" s="47"/>
      <c r="DH102" s="47"/>
      <c r="DI102" s="47"/>
      <c r="DJ102" s="47"/>
      <c r="DK102" s="47"/>
      <c r="DL102" s="47"/>
      <c r="DM102" s="47"/>
      <c r="DN102" s="47"/>
      <c r="DO102" s="47"/>
      <c r="DP102" s="47"/>
      <c r="DQ102" s="47"/>
      <c r="DR102" s="47"/>
      <c r="DS102" s="47"/>
      <c r="DT102" s="47"/>
      <c r="DU102" s="47"/>
      <c r="DV102" s="47"/>
      <c r="DW102" s="47"/>
      <c r="DX102" s="47">
        <f t="shared" si="145"/>
        <v>2324.350729506577</v>
      </c>
      <c r="DY102" s="92">
        <f t="shared" si="118"/>
        <v>10072.1864945285</v>
      </c>
    </row>
    <row r="103" spans="2:129" s="3" customFormat="1" ht="12.75" x14ac:dyDescent="0.2">
      <c r="B103" s="12">
        <f t="shared" si="132"/>
        <v>78</v>
      </c>
      <c r="C103" s="13">
        <f t="shared" si="148"/>
        <v>8.7486853715243035E-2</v>
      </c>
      <c r="D103" s="82">
        <f>IF($B103=F$20,'Construction Costs_2022'!$K$22+'Construction Costs_2022'!$K$7,0)</f>
        <v>0</v>
      </c>
      <c r="E103" s="38">
        <f t="shared" si="133"/>
        <v>28800</v>
      </c>
      <c r="F103" s="38"/>
      <c r="G103" s="45"/>
      <c r="H103" s="46">
        <f t="shared" si="108"/>
        <v>28800</v>
      </c>
      <c r="I103" s="41">
        <f t="shared" si="122"/>
        <v>0</v>
      </c>
      <c r="J103" s="41">
        <f t="shared" si="122"/>
        <v>2519.6213869989992</v>
      </c>
      <c r="K103" s="47">
        <f t="shared" si="122"/>
        <v>0</v>
      </c>
      <c r="L103" s="47">
        <f t="shared" si="122"/>
        <v>0</v>
      </c>
      <c r="M103" s="92">
        <f t="shared" si="134"/>
        <v>2519.6213869989992</v>
      </c>
      <c r="N103" s="91">
        <f>IF($B103=P$20,'Construction Costs_2022'!$K$43+'Construction Costs_2022'!$K$7,0)</f>
        <v>0</v>
      </c>
      <c r="O103" s="38">
        <f t="shared" si="135"/>
        <v>43200</v>
      </c>
      <c r="P103" s="38"/>
      <c r="Q103" s="45"/>
      <c r="R103" s="46">
        <f t="shared" si="110"/>
        <v>43200</v>
      </c>
      <c r="S103" s="41">
        <f t="shared" si="119"/>
        <v>0</v>
      </c>
      <c r="T103" s="41">
        <f t="shared" si="119"/>
        <v>3779.4320804984991</v>
      </c>
      <c r="U103" s="47">
        <f t="shared" si="149"/>
        <v>0</v>
      </c>
      <c r="V103" s="47">
        <f t="shared" si="106"/>
        <v>0</v>
      </c>
      <c r="W103" s="92">
        <f t="shared" si="136"/>
        <v>3779.4320804984991</v>
      </c>
      <c r="X103" s="82">
        <f>IF($B103=AP$20,'OBC Cost _Van Oord 2022'!$E$30,0)</f>
        <v>0</v>
      </c>
      <c r="Y103" s="38">
        <f t="shared" si="137"/>
        <v>0</v>
      </c>
      <c r="Z103" s="38"/>
      <c r="AA103" s="38"/>
      <c r="AB103" s="38"/>
      <c r="AC103" s="38"/>
      <c r="AD103" s="38"/>
      <c r="AE103" s="38"/>
      <c r="AF103" s="38"/>
      <c r="AG103" s="38"/>
      <c r="AH103" s="38"/>
      <c r="AI103" s="38"/>
      <c r="AJ103" s="38"/>
      <c r="AK103" s="38"/>
      <c r="AL103" s="38"/>
      <c r="AM103" s="38"/>
      <c r="AN103" s="38"/>
      <c r="AO103" s="38"/>
      <c r="AP103" s="38"/>
      <c r="AQ103" s="45">
        <f t="shared" si="146"/>
        <v>0</v>
      </c>
      <c r="AR103" s="45"/>
      <c r="AS103" s="46">
        <f t="shared" si="123"/>
        <v>0</v>
      </c>
      <c r="AT103" s="41">
        <f t="shared" si="124"/>
        <v>0</v>
      </c>
      <c r="AU103" s="41">
        <f t="shared" si="125"/>
        <v>0</v>
      </c>
      <c r="AV103" s="47"/>
      <c r="AW103" s="47"/>
      <c r="AX103" s="47"/>
      <c r="AY103" s="47"/>
      <c r="AZ103" s="47"/>
      <c r="BA103" s="47"/>
      <c r="BB103" s="47"/>
      <c r="BC103" s="47"/>
      <c r="BD103" s="47"/>
      <c r="BE103" s="47"/>
      <c r="BF103" s="47"/>
      <c r="BG103" s="47"/>
      <c r="BH103" s="47"/>
      <c r="BI103" s="47"/>
      <c r="BJ103" s="47"/>
      <c r="BK103" s="47"/>
      <c r="BL103" s="47"/>
      <c r="BM103" s="47">
        <f t="shared" si="141"/>
        <v>0</v>
      </c>
      <c r="BN103" s="92">
        <f t="shared" si="126"/>
        <v>0</v>
      </c>
      <c r="BO103" s="82">
        <f>IF($B103=BQ$20,'Construction Costs_2022'!$K$84+'Construction Costs_2022'!$K$7,0)</f>
        <v>0</v>
      </c>
      <c r="BP103" s="38">
        <f t="shared" si="127"/>
        <v>0</v>
      </c>
      <c r="BQ103" s="38"/>
      <c r="BR103" s="45"/>
      <c r="BS103" s="46">
        <f t="shared" si="142"/>
        <v>0</v>
      </c>
      <c r="BT103" s="41">
        <f t="shared" si="128"/>
        <v>0</v>
      </c>
      <c r="BU103" s="41">
        <f t="shared" si="128"/>
        <v>0</v>
      </c>
      <c r="BV103" s="47">
        <f t="shared" si="128"/>
        <v>0</v>
      </c>
      <c r="BW103" s="47">
        <f t="shared" si="120"/>
        <v>0</v>
      </c>
      <c r="BX103" s="92">
        <f t="shared" si="138"/>
        <v>0</v>
      </c>
      <c r="BY103" s="82">
        <f>IF($B103=CA$20,'Construction Costs_2022'!$K$104+'Construction Costs_2022'!$K$7,0)</f>
        <v>0</v>
      </c>
      <c r="BZ103" s="38">
        <f t="shared" si="129"/>
        <v>0</v>
      </c>
      <c r="CA103" s="38"/>
      <c r="CB103" s="45"/>
      <c r="CC103" s="46">
        <f t="shared" si="143"/>
        <v>0</v>
      </c>
      <c r="CD103" s="41">
        <f t="shared" si="130"/>
        <v>0</v>
      </c>
      <c r="CE103" s="41">
        <f t="shared" si="130"/>
        <v>0</v>
      </c>
      <c r="CF103" s="47">
        <f t="shared" si="130"/>
        <v>0</v>
      </c>
      <c r="CG103" s="47">
        <f t="shared" si="121"/>
        <v>0</v>
      </c>
      <c r="CH103" s="92">
        <f t="shared" si="139"/>
        <v>0</v>
      </c>
      <c r="CI103" s="82">
        <f>IF($B103=DA$20,'OBC Cost _Van Oord 2022'!$E$30,0)</f>
        <v>0</v>
      </c>
      <c r="CJ103" s="38">
        <f t="shared" si="140"/>
        <v>0</v>
      </c>
      <c r="CK103" s="38"/>
      <c r="CL103" s="38"/>
      <c r="CM103" s="38"/>
      <c r="CN103" s="38"/>
      <c r="CO103" s="38"/>
      <c r="CP103" s="38"/>
      <c r="CQ103" s="38"/>
      <c r="CR103" s="38"/>
      <c r="CS103" s="38"/>
      <c r="CT103" s="38"/>
      <c r="CU103" s="38"/>
      <c r="CV103" s="38"/>
      <c r="CW103" s="38"/>
      <c r="CX103" s="38"/>
      <c r="CY103" s="38"/>
      <c r="CZ103" s="38"/>
      <c r="DA103" s="38"/>
      <c r="DB103" s="45">
        <f t="shared" si="147"/>
        <v>0</v>
      </c>
      <c r="DC103" s="45"/>
      <c r="DD103" s="46">
        <f t="shared" si="117"/>
        <v>0</v>
      </c>
      <c r="DE103" s="41">
        <f t="shared" si="144"/>
        <v>0</v>
      </c>
      <c r="DF103" s="41">
        <f t="shared" si="131"/>
        <v>0</v>
      </c>
      <c r="DG103" s="47"/>
      <c r="DH103" s="47"/>
      <c r="DI103" s="47"/>
      <c r="DJ103" s="47"/>
      <c r="DK103" s="47"/>
      <c r="DL103" s="47"/>
      <c r="DM103" s="47"/>
      <c r="DN103" s="47"/>
      <c r="DO103" s="47"/>
      <c r="DP103" s="47"/>
      <c r="DQ103" s="47"/>
      <c r="DR103" s="47"/>
      <c r="DS103" s="47"/>
      <c r="DT103" s="47"/>
      <c r="DU103" s="47"/>
      <c r="DV103" s="47"/>
      <c r="DW103" s="47"/>
      <c r="DX103" s="47">
        <f t="shared" si="145"/>
        <v>0</v>
      </c>
      <c r="DY103" s="92">
        <f t="shared" si="118"/>
        <v>0</v>
      </c>
    </row>
    <row r="104" spans="2:129" s="3" customFormat="1" ht="12.75" x14ac:dyDescent="0.2">
      <c r="B104" s="12">
        <f t="shared" si="132"/>
        <v>79</v>
      </c>
      <c r="C104" s="13">
        <f t="shared" si="148"/>
        <v>8.5353028014871254E-2</v>
      </c>
      <c r="D104" s="82">
        <f>IF($B104=F$20,'Construction Costs_2022'!$K$22+'Construction Costs_2022'!$K$7,0)</f>
        <v>0</v>
      </c>
      <c r="E104" s="38">
        <f t="shared" si="133"/>
        <v>28800</v>
      </c>
      <c r="F104" s="38"/>
      <c r="G104" s="45"/>
      <c r="H104" s="46">
        <f t="shared" si="108"/>
        <v>28800</v>
      </c>
      <c r="I104" s="41">
        <f t="shared" si="122"/>
        <v>0</v>
      </c>
      <c r="J104" s="41">
        <f t="shared" si="122"/>
        <v>2458.1672068282919</v>
      </c>
      <c r="K104" s="47">
        <f t="shared" si="122"/>
        <v>0</v>
      </c>
      <c r="L104" s="47">
        <f t="shared" si="122"/>
        <v>0</v>
      </c>
      <c r="M104" s="92">
        <f t="shared" si="134"/>
        <v>2458.1672068282919</v>
      </c>
      <c r="N104" s="91">
        <f>IF($B104=P$20,'Construction Costs_2022'!$K$43+'Construction Costs_2022'!$K$7,0)</f>
        <v>0</v>
      </c>
      <c r="O104" s="38">
        <f t="shared" si="135"/>
        <v>43200</v>
      </c>
      <c r="P104" s="38"/>
      <c r="Q104" s="45"/>
      <c r="R104" s="46">
        <f t="shared" si="110"/>
        <v>43200</v>
      </c>
      <c r="S104" s="41">
        <f t="shared" si="119"/>
        <v>0</v>
      </c>
      <c r="T104" s="41">
        <f t="shared" si="119"/>
        <v>3687.2508102424381</v>
      </c>
      <c r="U104" s="47">
        <f t="shared" si="149"/>
        <v>0</v>
      </c>
      <c r="V104" s="47">
        <f t="shared" si="106"/>
        <v>0</v>
      </c>
      <c r="W104" s="92">
        <f t="shared" si="136"/>
        <v>3687.2508102424381</v>
      </c>
      <c r="X104" s="82">
        <f>IF($B104=AP$20,'OBC Cost _Van Oord 2022'!$E$30,0)</f>
        <v>0</v>
      </c>
      <c r="Y104" s="38">
        <f t="shared" si="137"/>
        <v>0</v>
      </c>
      <c r="Z104" s="38"/>
      <c r="AA104" s="38"/>
      <c r="AB104" s="38"/>
      <c r="AC104" s="38"/>
      <c r="AD104" s="38"/>
      <c r="AE104" s="38"/>
      <c r="AF104" s="38"/>
      <c r="AG104" s="38"/>
      <c r="AH104" s="38"/>
      <c r="AI104" s="38"/>
      <c r="AJ104" s="38"/>
      <c r="AK104" s="38"/>
      <c r="AL104" s="38"/>
      <c r="AM104" s="38"/>
      <c r="AN104" s="38"/>
      <c r="AO104" s="38"/>
      <c r="AP104" s="38"/>
      <c r="AQ104" s="45">
        <f t="shared" si="146"/>
        <v>0</v>
      </c>
      <c r="AR104" s="45"/>
      <c r="AS104" s="46">
        <f t="shared" si="123"/>
        <v>0</v>
      </c>
      <c r="AT104" s="41">
        <f t="shared" si="124"/>
        <v>0</v>
      </c>
      <c r="AU104" s="41">
        <f t="shared" si="125"/>
        <v>0</v>
      </c>
      <c r="AV104" s="47"/>
      <c r="AW104" s="47"/>
      <c r="AX104" s="47"/>
      <c r="AY104" s="47"/>
      <c r="AZ104" s="47"/>
      <c r="BA104" s="47"/>
      <c r="BB104" s="47"/>
      <c r="BC104" s="47"/>
      <c r="BD104" s="47"/>
      <c r="BE104" s="47"/>
      <c r="BF104" s="47"/>
      <c r="BG104" s="47"/>
      <c r="BH104" s="47"/>
      <c r="BI104" s="47"/>
      <c r="BJ104" s="47"/>
      <c r="BK104" s="47"/>
      <c r="BL104" s="47"/>
      <c r="BM104" s="47">
        <f t="shared" si="141"/>
        <v>0</v>
      </c>
      <c r="BN104" s="92">
        <f t="shared" si="126"/>
        <v>0</v>
      </c>
      <c r="BO104" s="82">
        <f>IF($B104=BQ$20,'Construction Costs_2022'!$K$84+'Construction Costs_2022'!$K$7,0)</f>
        <v>0</v>
      </c>
      <c r="BP104" s="38">
        <f t="shared" si="127"/>
        <v>0</v>
      </c>
      <c r="BQ104" s="38"/>
      <c r="BR104" s="45"/>
      <c r="BS104" s="46">
        <f t="shared" si="142"/>
        <v>0</v>
      </c>
      <c r="BT104" s="41">
        <f t="shared" si="128"/>
        <v>0</v>
      </c>
      <c r="BU104" s="41">
        <f t="shared" si="128"/>
        <v>0</v>
      </c>
      <c r="BV104" s="47">
        <f t="shared" si="128"/>
        <v>0</v>
      </c>
      <c r="BW104" s="47">
        <f t="shared" si="120"/>
        <v>0</v>
      </c>
      <c r="BX104" s="92">
        <f t="shared" si="138"/>
        <v>0</v>
      </c>
      <c r="BY104" s="82">
        <f>IF($B104=CA$20,'Construction Costs_2022'!$K$104+'Construction Costs_2022'!$K$7,0)</f>
        <v>0</v>
      </c>
      <c r="BZ104" s="38">
        <f t="shared" si="129"/>
        <v>0</v>
      </c>
      <c r="CA104" s="38"/>
      <c r="CB104" s="45"/>
      <c r="CC104" s="46">
        <f t="shared" si="143"/>
        <v>0</v>
      </c>
      <c r="CD104" s="41">
        <f t="shared" si="130"/>
        <v>0</v>
      </c>
      <c r="CE104" s="41">
        <f t="shared" si="130"/>
        <v>0</v>
      </c>
      <c r="CF104" s="47">
        <f t="shared" si="130"/>
        <v>0</v>
      </c>
      <c r="CG104" s="47">
        <f t="shared" si="121"/>
        <v>0</v>
      </c>
      <c r="CH104" s="92">
        <f t="shared" si="139"/>
        <v>0</v>
      </c>
      <c r="CI104" s="82">
        <f>IF($B104=DA$20,'OBC Cost _Van Oord 2022'!$E$30,0)</f>
        <v>0</v>
      </c>
      <c r="CJ104" s="38">
        <f t="shared" si="140"/>
        <v>0</v>
      </c>
      <c r="CK104" s="38"/>
      <c r="CL104" s="38"/>
      <c r="CM104" s="38"/>
      <c r="CN104" s="38"/>
      <c r="CO104" s="38"/>
      <c r="CP104" s="38"/>
      <c r="CQ104" s="38"/>
      <c r="CR104" s="38"/>
      <c r="CS104" s="38"/>
      <c r="CT104" s="38"/>
      <c r="CU104" s="38"/>
      <c r="CV104" s="38"/>
      <c r="CW104" s="38"/>
      <c r="CX104" s="38"/>
      <c r="CY104" s="38"/>
      <c r="CZ104" s="38"/>
      <c r="DA104" s="38"/>
      <c r="DB104" s="45">
        <f t="shared" si="147"/>
        <v>0</v>
      </c>
      <c r="DC104" s="45"/>
      <c r="DD104" s="46">
        <f t="shared" si="117"/>
        <v>0</v>
      </c>
      <c r="DE104" s="41">
        <f t="shared" si="144"/>
        <v>0</v>
      </c>
      <c r="DF104" s="41">
        <f t="shared" si="131"/>
        <v>0</v>
      </c>
      <c r="DG104" s="47"/>
      <c r="DH104" s="47"/>
      <c r="DI104" s="47"/>
      <c r="DJ104" s="47"/>
      <c r="DK104" s="47"/>
      <c r="DL104" s="47"/>
      <c r="DM104" s="47"/>
      <c r="DN104" s="47"/>
      <c r="DO104" s="47"/>
      <c r="DP104" s="47"/>
      <c r="DQ104" s="47"/>
      <c r="DR104" s="47"/>
      <c r="DS104" s="47"/>
      <c r="DT104" s="47"/>
      <c r="DU104" s="47"/>
      <c r="DV104" s="47"/>
      <c r="DW104" s="47"/>
      <c r="DX104" s="47">
        <f t="shared" si="145"/>
        <v>0</v>
      </c>
      <c r="DY104" s="92">
        <f t="shared" si="118"/>
        <v>0</v>
      </c>
    </row>
    <row r="105" spans="2:129" s="3" customFormat="1" ht="12.75" x14ac:dyDescent="0.2">
      <c r="B105" s="12">
        <f t="shared" si="132"/>
        <v>80</v>
      </c>
      <c r="C105" s="13">
        <f t="shared" si="148"/>
        <v>8.3271246843776847E-2</v>
      </c>
      <c r="D105" s="82">
        <f>IF($B105=F$20,'Construction Costs_2022'!$K$22+'Construction Costs_2022'!$K$7,0)</f>
        <v>0</v>
      </c>
      <c r="E105" s="38">
        <f t="shared" si="133"/>
        <v>28800</v>
      </c>
      <c r="F105" s="38"/>
      <c r="G105" s="45"/>
      <c r="H105" s="46">
        <f t="shared" si="108"/>
        <v>28800</v>
      </c>
      <c r="I105" s="41">
        <f t="shared" si="122"/>
        <v>0</v>
      </c>
      <c r="J105" s="41">
        <f t="shared" si="122"/>
        <v>2398.211909100773</v>
      </c>
      <c r="K105" s="47">
        <f t="shared" si="122"/>
        <v>0</v>
      </c>
      <c r="L105" s="47">
        <f t="shared" si="122"/>
        <v>0</v>
      </c>
      <c r="M105" s="92">
        <f t="shared" si="134"/>
        <v>2398.211909100773</v>
      </c>
      <c r="N105" s="91">
        <f>IF($B105=P$20,'Construction Costs_2022'!$K$43+'Construction Costs_2022'!$K$7,0)</f>
        <v>0</v>
      </c>
      <c r="O105" s="38">
        <f t="shared" si="135"/>
        <v>43200</v>
      </c>
      <c r="P105" s="38"/>
      <c r="Q105" s="45"/>
      <c r="R105" s="46">
        <f t="shared" si="110"/>
        <v>43200</v>
      </c>
      <c r="S105" s="41">
        <f t="shared" ref="S105:T124" si="150">N105*$C105</f>
        <v>0</v>
      </c>
      <c r="T105" s="41">
        <f t="shared" si="150"/>
        <v>3597.3178636511598</v>
      </c>
      <c r="U105" s="47">
        <f t="shared" si="149"/>
        <v>0</v>
      </c>
      <c r="V105" s="47">
        <f t="shared" ref="V105:V124" si="151">Q105*$C105</f>
        <v>0</v>
      </c>
      <c r="W105" s="92">
        <f t="shared" si="136"/>
        <v>3597.3178636511598</v>
      </c>
      <c r="X105" s="82">
        <f>IF($B105=AP$20,'OBC Cost _Van Oord 2022'!$E$30,0)</f>
        <v>0</v>
      </c>
      <c r="Y105" s="38">
        <f t="shared" si="137"/>
        <v>0</v>
      </c>
      <c r="Z105" s="38"/>
      <c r="AA105" s="38"/>
      <c r="AB105" s="38"/>
      <c r="AC105" s="38"/>
      <c r="AD105" s="38"/>
      <c r="AE105" s="38"/>
      <c r="AF105" s="38"/>
      <c r="AG105" s="38"/>
      <c r="AH105" s="38"/>
      <c r="AI105" s="38"/>
      <c r="AJ105" s="38"/>
      <c r="AK105" s="38"/>
      <c r="AL105" s="38"/>
      <c r="AM105" s="38"/>
      <c r="AN105" s="38"/>
      <c r="AO105" s="38"/>
      <c r="AP105" s="38"/>
      <c r="AQ105" s="45">
        <f t="shared" si="146"/>
        <v>0</v>
      </c>
      <c r="AR105" s="45"/>
      <c r="AS105" s="46">
        <f t="shared" si="123"/>
        <v>0</v>
      </c>
      <c r="AT105" s="41">
        <f t="shared" si="124"/>
        <v>0</v>
      </c>
      <c r="AU105" s="41">
        <f t="shared" si="125"/>
        <v>0</v>
      </c>
      <c r="AV105" s="47"/>
      <c r="AW105" s="47"/>
      <c r="AX105" s="47"/>
      <c r="AY105" s="47"/>
      <c r="AZ105" s="47"/>
      <c r="BA105" s="47"/>
      <c r="BB105" s="47"/>
      <c r="BC105" s="47"/>
      <c r="BD105" s="47"/>
      <c r="BE105" s="47"/>
      <c r="BF105" s="47"/>
      <c r="BG105" s="47"/>
      <c r="BH105" s="47"/>
      <c r="BI105" s="47"/>
      <c r="BJ105" s="47"/>
      <c r="BK105" s="47"/>
      <c r="BL105" s="47"/>
      <c r="BM105" s="47">
        <f t="shared" si="141"/>
        <v>0</v>
      </c>
      <c r="BN105" s="92">
        <f t="shared" si="126"/>
        <v>0</v>
      </c>
      <c r="BO105" s="82">
        <f>IF($B105=BQ$20,'Construction Costs_2022'!$K$84+'Construction Costs_2022'!$K$7,0)</f>
        <v>0</v>
      </c>
      <c r="BP105" s="38">
        <f t="shared" si="127"/>
        <v>0</v>
      </c>
      <c r="BQ105" s="38"/>
      <c r="BR105" s="45"/>
      <c r="BS105" s="46">
        <f t="shared" si="142"/>
        <v>0</v>
      </c>
      <c r="BT105" s="41">
        <f t="shared" si="128"/>
        <v>0</v>
      </c>
      <c r="BU105" s="41">
        <f t="shared" si="128"/>
        <v>0</v>
      </c>
      <c r="BV105" s="47">
        <f t="shared" si="128"/>
        <v>0</v>
      </c>
      <c r="BW105" s="47">
        <f t="shared" si="120"/>
        <v>0</v>
      </c>
      <c r="BX105" s="92">
        <f t="shared" si="138"/>
        <v>0</v>
      </c>
      <c r="BY105" s="82">
        <f>IF($B105=CA$20,'Construction Costs_2022'!$K$104+'Construction Costs_2022'!$K$7,0)</f>
        <v>0</v>
      </c>
      <c r="BZ105" s="38">
        <f t="shared" si="129"/>
        <v>0</v>
      </c>
      <c r="CA105" s="38"/>
      <c r="CB105" s="45"/>
      <c r="CC105" s="46">
        <f t="shared" si="143"/>
        <v>0</v>
      </c>
      <c r="CD105" s="41">
        <f t="shared" si="130"/>
        <v>0</v>
      </c>
      <c r="CE105" s="41">
        <f t="shared" si="130"/>
        <v>0</v>
      </c>
      <c r="CF105" s="47">
        <f t="shared" si="130"/>
        <v>0</v>
      </c>
      <c r="CG105" s="47">
        <f t="shared" si="121"/>
        <v>0</v>
      </c>
      <c r="CH105" s="92">
        <f t="shared" si="139"/>
        <v>0</v>
      </c>
      <c r="CI105" s="82">
        <f>IF($B105=DA$20,'OBC Cost _Van Oord 2022'!$E$30,0)</f>
        <v>0</v>
      </c>
      <c r="CJ105" s="38">
        <f t="shared" si="140"/>
        <v>0</v>
      </c>
      <c r="CK105" s="38"/>
      <c r="CL105" s="38"/>
      <c r="CM105" s="38"/>
      <c r="CN105" s="38"/>
      <c r="CO105" s="38"/>
      <c r="CP105" s="38"/>
      <c r="CQ105" s="38"/>
      <c r="CR105" s="38"/>
      <c r="CS105" s="38"/>
      <c r="CT105" s="38"/>
      <c r="CU105" s="38"/>
      <c r="CV105" s="38"/>
      <c r="CW105" s="38"/>
      <c r="CX105" s="38"/>
      <c r="CY105" s="38"/>
      <c r="CZ105" s="38"/>
      <c r="DA105" s="38"/>
      <c r="DB105" s="45">
        <f t="shared" si="147"/>
        <v>0</v>
      </c>
      <c r="DC105" s="45"/>
      <c r="DD105" s="46">
        <f t="shared" si="117"/>
        <v>0</v>
      </c>
      <c r="DE105" s="41">
        <f t="shared" si="144"/>
        <v>0</v>
      </c>
      <c r="DF105" s="41">
        <f t="shared" si="131"/>
        <v>0</v>
      </c>
      <c r="DG105" s="47"/>
      <c r="DH105" s="47"/>
      <c r="DI105" s="47"/>
      <c r="DJ105" s="47"/>
      <c r="DK105" s="47"/>
      <c r="DL105" s="47"/>
      <c r="DM105" s="47"/>
      <c r="DN105" s="47"/>
      <c r="DO105" s="47"/>
      <c r="DP105" s="47"/>
      <c r="DQ105" s="47"/>
      <c r="DR105" s="47"/>
      <c r="DS105" s="47"/>
      <c r="DT105" s="47"/>
      <c r="DU105" s="47"/>
      <c r="DV105" s="47"/>
      <c r="DW105" s="47"/>
      <c r="DX105" s="47">
        <f t="shared" si="145"/>
        <v>0</v>
      </c>
      <c r="DY105" s="92">
        <f t="shared" si="118"/>
        <v>0</v>
      </c>
    </row>
    <row r="106" spans="2:129" s="3" customFormat="1" ht="12.75" x14ac:dyDescent="0.2">
      <c r="B106" s="12">
        <f t="shared" si="132"/>
        <v>81</v>
      </c>
      <c r="C106" s="13">
        <f t="shared" si="148"/>
        <v>8.1240240823196933E-2</v>
      </c>
      <c r="D106" s="82">
        <f>IF($B106=F$20,'Construction Costs_2022'!$K$22+'Construction Costs_2022'!$K$7,0)</f>
        <v>0</v>
      </c>
      <c r="E106" s="38">
        <f t="shared" si="133"/>
        <v>28800</v>
      </c>
      <c r="F106" s="38"/>
      <c r="G106" s="45"/>
      <c r="H106" s="46">
        <f t="shared" si="108"/>
        <v>28800</v>
      </c>
      <c r="I106" s="41">
        <f t="shared" si="122"/>
        <v>0</v>
      </c>
      <c r="J106" s="41">
        <f t="shared" si="122"/>
        <v>2339.7189357080715</v>
      </c>
      <c r="K106" s="47">
        <f t="shared" si="122"/>
        <v>0</v>
      </c>
      <c r="L106" s="47">
        <f t="shared" si="122"/>
        <v>0</v>
      </c>
      <c r="M106" s="92">
        <f t="shared" si="134"/>
        <v>2339.7189357080715</v>
      </c>
      <c r="N106" s="91">
        <f>IF($B106=P$20,'Construction Costs_2022'!$K$43+'Construction Costs_2022'!$K$7,0)</f>
        <v>0</v>
      </c>
      <c r="O106" s="38">
        <f t="shared" si="135"/>
        <v>43200</v>
      </c>
      <c r="P106" s="38"/>
      <c r="Q106" s="45"/>
      <c r="R106" s="46">
        <f t="shared" si="110"/>
        <v>43200</v>
      </c>
      <c r="S106" s="41">
        <f t="shared" si="150"/>
        <v>0</v>
      </c>
      <c r="T106" s="41">
        <f t="shared" si="150"/>
        <v>3509.5784035621073</v>
      </c>
      <c r="U106" s="47">
        <f t="shared" si="149"/>
        <v>0</v>
      </c>
      <c r="V106" s="47">
        <f t="shared" si="151"/>
        <v>0</v>
      </c>
      <c r="W106" s="92">
        <f t="shared" si="136"/>
        <v>3509.5784035621073</v>
      </c>
      <c r="X106" s="82">
        <f>IF($B106=AP$20,'OBC Cost _Van Oord 2022'!$E$30,0)</f>
        <v>0</v>
      </c>
      <c r="Y106" s="38">
        <f t="shared" si="137"/>
        <v>0</v>
      </c>
      <c r="Z106" s="38"/>
      <c r="AA106" s="38"/>
      <c r="AB106" s="38"/>
      <c r="AC106" s="38"/>
      <c r="AD106" s="38"/>
      <c r="AE106" s="38"/>
      <c r="AF106" s="38"/>
      <c r="AG106" s="38"/>
      <c r="AH106" s="38"/>
      <c r="AI106" s="38"/>
      <c r="AJ106" s="38"/>
      <c r="AK106" s="38"/>
      <c r="AL106" s="38"/>
      <c r="AM106" s="38"/>
      <c r="AN106" s="38"/>
      <c r="AO106" s="38"/>
      <c r="AP106" s="38"/>
      <c r="AQ106" s="45">
        <f t="shared" si="146"/>
        <v>0</v>
      </c>
      <c r="AR106" s="45"/>
      <c r="AS106" s="46">
        <f t="shared" si="123"/>
        <v>0</v>
      </c>
      <c r="AT106" s="41">
        <f t="shared" si="124"/>
        <v>0</v>
      </c>
      <c r="AU106" s="41">
        <f t="shared" si="125"/>
        <v>0</v>
      </c>
      <c r="AV106" s="47"/>
      <c r="AW106" s="47"/>
      <c r="AX106" s="47"/>
      <c r="AY106" s="47"/>
      <c r="AZ106" s="47"/>
      <c r="BA106" s="47"/>
      <c r="BB106" s="47"/>
      <c r="BC106" s="47"/>
      <c r="BD106" s="47"/>
      <c r="BE106" s="47"/>
      <c r="BF106" s="47"/>
      <c r="BG106" s="47"/>
      <c r="BH106" s="47"/>
      <c r="BI106" s="47"/>
      <c r="BJ106" s="47"/>
      <c r="BK106" s="47"/>
      <c r="BL106" s="47"/>
      <c r="BM106" s="47">
        <f t="shared" si="141"/>
        <v>0</v>
      </c>
      <c r="BN106" s="92">
        <f t="shared" si="126"/>
        <v>0</v>
      </c>
      <c r="BO106" s="82">
        <f>IF($B106=BQ$20,'Construction Costs_2022'!$K$84+'Construction Costs_2022'!$K$7,0)</f>
        <v>0</v>
      </c>
      <c r="BP106" s="38">
        <f t="shared" si="127"/>
        <v>0</v>
      </c>
      <c r="BQ106" s="38"/>
      <c r="BR106" s="45"/>
      <c r="BS106" s="46">
        <f t="shared" si="142"/>
        <v>0</v>
      </c>
      <c r="BT106" s="41">
        <f t="shared" si="128"/>
        <v>0</v>
      </c>
      <c r="BU106" s="41">
        <f t="shared" si="128"/>
        <v>0</v>
      </c>
      <c r="BV106" s="47">
        <f t="shared" si="128"/>
        <v>0</v>
      </c>
      <c r="BW106" s="47">
        <f t="shared" si="120"/>
        <v>0</v>
      </c>
      <c r="BX106" s="92">
        <f t="shared" si="138"/>
        <v>0</v>
      </c>
      <c r="BY106" s="82">
        <f>IF($B106=CA$20,'Construction Costs_2022'!$K$104+'Construction Costs_2022'!$K$7,0)</f>
        <v>0</v>
      </c>
      <c r="BZ106" s="38">
        <f t="shared" si="129"/>
        <v>0</v>
      </c>
      <c r="CA106" s="38"/>
      <c r="CB106" s="45"/>
      <c r="CC106" s="46">
        <f t="shared" si="143"/>
        <v>0</v>
      </c>
      <c r="CD106" s="41">
        <f t="shared" si="130"/>
        <v>0</v>
      </c>
      <c r="CE106" s="41">
        <f t="shared" si="130"/>
        <v>0</v>
      </c>
      <c r="CF106" s="47">
        <f t="shared" si="130"/>
        <v>0</v>
      </c>
      <c r="CG106" s="47">
        <f t="shared" si="121"/>
        <v>0</v>
      </c>
      <c r="CH106" s="92">
        <f t="shared" si="139"/>
        <v>0</v>
      </c>
      <c r="CI106" s="82">
        <f>IF($B106=DA$20,'OBC Cost _Van Oord 2022'!$E$30,0)</f>
        <v>0</v>
      </c>
      <c r="CJ106" s="38">
        <f t="shared" si="140"/>
        <v>0</v>
      </c>
      <c r="CK106" s="38"/>
      <c r="CL106" s="38"/>
      <c r="CM106" s="38"/>
      <c r="CN106" s="38"/>
      <c r="CO106" s="38"/>
      <c r="CP106" s="38"/>
      <c r="CQ106" s="38"/>
      <c r="CR106" s="38"/>
      <c r="CS106" s="38"/>
      <c r="CT106" s="38"/>
      <c r="CU106" s="38"/>
      <c r="CV106" s="38"/>
      <c r="CW106" s="38"/>
      <c r="CX106" s="38"/>
      <c r="CY106" s="38"/>
      <c r="CZ106" s="38"/>
      <c r="DA106" s="38"/>
      <c r="DB106" s="45">
        <f t="shared" si="147"/>
        <v>0</v>
      </c>
      <c r="DC106" s="45"/>
      <c r="DD106" s="46">
        <f t="shared" si="117"/>
        <v>0</v>
      </c>
      <c r="DE106" s="41">
        <f t="shared" si="144"/>
        <v>0</v>
      </c>
      <c r="DF106" s="41">
        <f t="shared" si="131"/>
        <v>0</v>
      </c>
      <c r="DG106" s="47"/>
      <c r="DH106" s="47"/>
      <c r="DI106" s="47"/>
      <c r="DJ106" s="47"/>
      <c r="DK106" s="47"/>
      <c r="DL106" s="47"/>
      <c r="DM106" s="47"/>
      <c r="DN106" s="47"/>
      <c r="DO106" s="47"/>
      <c r="DP106" s="47"/>
      <c r="DQ106" s="47"/>
      <c r="DR106" s="47"/>
      <c r="DS106" s="47"/>
      <c r="DT106" s="47"/>
      <c r="DU106" s="47"/>
      <c r="DV106" s="47"/>
      <c r="DW106" s="47"/>
      <c r="DX106" s="47">
        <f t="shared" si="145"/>
        <v>0</v>
      </c>
      <c r="DY106" s="92">
        <f t="shared" si="118"/>
        <v>0</v>
      </c>
    </row>
    <row r="107" spans="2:129" s="3" customFormat="1" ht="12.75" x14ac:dyDescent="0.2">
      <c r="B107" s="12">
        <f t="shared" si="132"/>
        <v>82</v>
      </c>
      <c r="C107" s="13">
        <f t="shared" si="148"/>
        <v>7.9258771534826286E-2</v>
      </c>
      <c r="D107" s="82">
        <f>IF($B107=F$20,'Construction Costs_2022'!$K$22+'Construction Costs_2022'!$K$7,0)</f>
        <v>0</v>
      </c>
      <c r="E107" s="38">
        <f t="shared" si="133"/>
        <v>1301900</v>
      </c>
      <c r="F107" s="38"/>
      <c r="G107" s="45"/>
      <c r="H107" s="46">
        <f t="shared" si="108"/>
        <v>1301900</v>
      </c>
      <c r="I107" s="41">
        <f t="shared" si="122"/>
        <v>0</v>
      </c>
      <c r="J107" s="41">
        <f t="shared" si="122"/>
        <v>103186.99466119034</v>
      </c>
      <c r="K107" s="47">
        <f t="shared" si="122"/>
        <v>0</v>
      </c>
      <c r="L107" s="47">
        <f t="shared" si="122"/>
        <v>0</v>
      </c>
      <c r="M107" s="92">
        <f t="shared" si="134"/>
        <v>103186.99466119034</v>
      </c>
      <c r="N107" s="91">
        <f>IF($B107=P$20,'Construction Costs_2022'!$K$43+'Construction Costs_2022'!$K$7,0)</f>
        <v>0</v>
      </c>
      <c r="O107" s="38">
        <f t="shared" si="135"/>
        <v>1207840</v>
      </c>
      <c r="P107" s="38"/>
      <c r="Q107" s="45"/>
      <c r="R107" s="46">
        <f t="shared" si="110"/>
        <v>1207840</v>
      </c>
      <c r="S107" s="41">
        <f t="shared" si="150"/>
        <v>0</v>
      </c>
      <c r="T107" s="41">
        <f t="shared" si="150"/>
        <v>95731.914610624575</v>
      </c>
      <c r="U107" s="47">
        <f t="shared" si="149"/>
        <v>0</v>
      </c>
      <c r="V107" s="47">
        <f t="shared" si="151"/>
        <v>0</v>
      </c>
      <c r="W107" s="92">
        <f t="shared" si="136"/>
        <v>95731.914610624575</v>
      </c>
      <c r="X107" s="82">
        <f>IF($B107=AP$20,'OBC Cost _Van Oord 2022'!$E$30,0)</f>
        <v>0</v>
      </c>
      <c r="Y107" s="38">
        <f t="shared" si="137"/>
        <v>919280</v>
      </c>
      <c r="Z107" s="38"/>
      <c r="AA107" s="38"/>
      <c r="AB107" s="38"/>
      <c r="AC107" s="38"/>
      <c r="AD107" s="38"/>
      <c r="AE107" s="38"/>
      <c r="AF107" s="38"/>
      <c r="AG107" s="38"/>
      <c r="AH107" s="38"/>
      <c r="AI107" s="38"/>
      <c r="AJ107" s="38"/>
      <c r="AK107" s="38"/>
      <c r="AL107" s="38"/>
      <c r="AM107" s="38"/>
      <c r="AN107" s="38"/>
      <c r="AO107" s="38"/>
      <c r="AP107" s="38"/>
      <c r="AQ107" s="45">
        <f t="shared" si="146"/>
        <v>239012.80000000002</v>
      </c>
      <c r="AR107" s="45"/>
      <c r="AS107" s="46">
        <f t="shared" si="123"/>
        <v>1158292.8</v>
      </c>
      <c r="AT107" s="41">
        <f t="shared" si="124"/>
        <v>0</v>
      </c>
      <c r="AU107" s="41">
        <f t="shared" si="125"/>
        <v>72861.003496535108</v>
      </c>
      <c r="AV107" s="47"/>
      <c r="AW107" s="47"/>
      <c r="AX107" s="47"/>
      <c r="AY107" s="47"/>
      <c r="AZ107" s="47"/>
      <c r="BA107" s="47"/>
      <c r="BB107" s="47"/>
      <c r="BC107" s="47"/>
      <c r="BD107" s="47"/>
      <c r="BE107" s="47"/>
      <c r="BF107" s="47"/>
      <c r="BG107" s="47"/>
      <c r="BH107" s="47"/>
      <c r="BI107" s="47"/>
      <c r="BJ107" s="47"/>
      <c r="BK107" s="47"/>
      <c r="BL107" s="47"/>
      <c r="BM107" s="47">
        <f t="shared" si="141"/>
        <v>18943.86090909913</v>
      </c>
      <c r="BN107" s="92">
        <f t="shared" si="126"/>
        <v>91804.864405634231</v>
      </c>
      <c r="BO107" s="82">
        <f>IF($B107=BQ$20,'Construction Costs_2022'!$K$84+'Construction Costs_2022'!$K$7,0)</f>
        <v>0</v>
      </c>
      <c r="BP107" s="38">
        <f t="shared" si="127"/>
        <v>875260</v>
      </c>
      <c r="BQ107" s="38"/>
      <c r="BR107" s="45"/>
      <c r="BS107" s="46">
        <f t="shared" si="142"/>
        <v>875260</v>
      </c>
      <c r="BT107" s="41">
        <f t="shared" si="128"/>
        <v>0</v>
      </c>
      <c r="BU107" s="41">
        <f t="shared" si="128"/>
        <v>69372.032373572059</v>
      </c>
      <c r="BV107" s="47">
        <f t="shared" si="128"/>
        <v>0</v>
      </c>
      <c r="BW107" s="47">
        <f t="shared" si="120"/>
        <v>0</v>
      </c>
      <c r="BX107" s="92">
        <f t="shared" si="138"/>
        <v>69372.032373572059</v>
      </c>
      <c r="BY107" s="82">
        <f>IF($B107=CA$20,'Construction Costs_2022'!$K$104+'Construction Costs_2022'!$K$7,0)</f>
        <v>0</v>
      </c>
      <c r="BZ107" s="38">
        <f t="shared" si="129"/>
        <v>1004320</v>
      </c>
      <c r="CA107" s="38"/>
      <c r="CB107" s="45"/>
      <c r="CC107" s="46">
        <f t="shared" si="143"/>
        <v>1004320</v>
      </c>
      <c r="CD107" s="41">
        <f t="shared" si="130"/>
        <v>0</v>
      </c>
      <c r="CE107" s="41">
        <f t="shared" si="130"/>
        <v>79601.16942785673</v>
      </c>
      <c r="CF107" s="47">
        <f t="shared" si="130"/>
        <v>0</v>
      </c>
      <c r="CG107" s="47">
        <f t="shared" si="121"/>
        <v>0</v>
      </c>
      <c r="CH107" s="92">
        <f t="shared" si="139"/>
        <v>79601.16942785673</v>
      </c>
      <c r="CI107" s="82">
        <f>IF($B107=DA$20,'OBC Cost _Van Oord 2022'!$E$30,0)</f>
        <v>0</v>
      </c>
      <c r="CJ107" s="38">
        <f t="shared" si="140"/>
        <v>201530</v>
      </c>
      <c r="CK107" s="38"/>
      <c r="CL107" s="38"/>
      <c r="CM107" s="38"/>
      <c r="CN107" s="38"/>
      <c r="CO107" s="38"/>
      <c r="CP107" s="38"/>
      <c r="CQ107" s="38"/>
      <c r="CR107" s="38"/>
      <c r="CS107" s="38"/>
      <c r="CT107" s="38"/>
      <c r="CU107" s="38"/>
      <c r="CV107" s="38"/>
      <c r="CW107" s="38"/>
      <c r="CX107" s="38"/>
      <c r="CY107" s="38"/>
      <c r="CZ107" s="38"/>
      <c r="DA107" s="38"/>
      <c r="DB107" s="45">
        <f t="shared" si="147"/>
        <v>60459</v>
      </c>
      <c r="DC107" s="45"/>
      <c r="DD107" s="46">
        <f t="shared" si="117"/>
        <v>261989</v>
      </c>
      <c r="DE107" s="41">
        <f t="shared" si="144"/>
        <v>0</v>
      </c>
      <c r="DF107" s="41">
        <f t="shared" si="131"/>
        <v>15973.020227413541</v>
      </c>
      <c r="DG107" s="47"/>
      <c r="DH107" s="47"/>
      <c r="DI107" s="47"/>
      <c r="DJ107" s="47"/>
      <c r="DK107" s="47"/>
      <c r="DL107" s="47"/>
      <c r="DM107" s="47"/>
      <c r="DN107" s="47"/>
      <c r="DO107" s="47"/>
      <c r="DP107" s="47"/>
      <c r="DQ107" s="47"/>
      <c r="DR107" s="47"/>
      <c r="DS107" s="47"/>
      <c r="DT107" s="47"/>
      <c r="DU107" s="47"/>
      <c r="DV107" s="47"/>
      <c r="DW107" s="47"/>
      <c r="DX107" s="47">
        <f t="shared" si="145"/>
        <v>4791.9060682240624</v>
      </c>
      <c r="DY107" s="92">
        <f t="shared" si="118"/>
        <v>20764.926295637604</v>
      </c>
    </row>
    <row r="108" spans="2:129" s="3" customFormat="1" ht="12.75" x14ac:dyDescent="0.2">
      <c r="B108" s="12">
        <f t="shared" si="132"/>
        <v>83</v>
      </c>
      <c r="C108" s="13">
        <f t="shared" si="148"/>
        <v>7.7325630765684189E-2</v>
      </c>
      <c r="D108" s="82">
        <f>IF($B108=F$20,'Construction Costs_2022'!$K$22+'Construction Costs_2022'!$K$7,0)</f>
        <v>0</v>
      </c>
      <c r="E108" s="38">
        <f t="shared" si="133"/>
        <v>28800</v>
      </c>
      <c r="F108" s="38"/>
      <c r="G108" s="45"/>
      <c r="H108" s="46">
        <f t="shared" si="108"/>
        <v>28800</v>
      </c>
      <c r="I108" s="41">
        <f t="shared" si="122"/>
        <v>0</v>
      </c>
      <c r="J108" s="41">
        <f t="shared" si="122"/>
        <v>2226.9781660517046</v>
      </c>
      <c r="K108" s="47">
        <f t="shared" si="122"/>
        <v>0</v>
      </c>
      <c r="L108" s="47">
        <f t="shared" si="122"/>
        <v>0</v>
      </c>
      <c r="M108" s="92">
        <f t="shared" si="134"/>
        <v>2226.9781660517046</v>
      </c>
      <c r="N108" s="91">
        <f>IF($B108=P$20,'Construction Costs_2022'!$K$43+'Construction Costs_2022'!$K$7,0)</f>
        <v>0</v>
      </c>
      <c r="O108" s="38">
        <f t="shared" si="135"/>
        <v>43200</v>
      </c>
      <c r="P108" s="38"/>
      <c r="Q108" s="45"/>
      <c r="R108" s="46">
        <f t="shared" si="110"/>
        <v>43200</v>
      </c>
      <c r="S108" s="41">
        <f t="shared" si="150"/>
        <v>0</v>
      </c>
      <c r="T108" s="41">
        <f t="shared" si="150"/>
        <v>3340.467249077557</v>
      </c>
      <c r="U108" s="47">
        <f t="shared" si="149"/>
        <v>0</v>
      </c>
      <c r="V108" s="47">
        <f t="shared" si="151"/>
        <v>0</v>
      </c>
      <c r="W108" s="92">
        <f t="shared" si="136"/>
        <v>3340.467249077557</v>
      </c>
      <c r="X108" s="82">
        <f>IF($B108=AP$20,'OBC Cost _Van Oord 2022'!$E$30,0)</f>
        <v>0</v>
      </c>
      <c r="Y108" s="38">
        <f t="shared" si="137"/>
        <v>0</v>
      </c>
      <c r="Z108" s="38"/>
      <c r="AA108" s="38"/>
      <c r="AB108" s="38"/>
      <c r="AC108" s="38"/>
      <c r="AD108" s="38"/>
      <c r="AE108" s="38"/>
      <c r="AF108" s="38"/>
      <c r="AG108" s="38"/>
      <c r="AH108" s="38"/>
      <c r="AI108" s="38"/>
      <c r="AJ108" s="38"/>
      <c r="AK108" s="38"/>
      <c r="AL108" s="38"/>
      <c r="AM108" s="38"/>
      <c r="AN108" s="38"/>
      <c r="AO108" s="38"/>
      <c r="AP108" s="38"/>
      <c r="AQ108" s="45">
        <f t="shared" si="146"/>
        <v>0</v>
      </c>
      <c r="AR108" s="45"/>
      <c r="AS108" s="46">
        <f t="shared" si="123"/>
        <v>0</v>
      </c>
      <c r="AT108" s="41">
        <f t="shared" si="124"/>
        <v>0</v>
      </c>
      <c r="AU108" s="41">
        <f t="shared" si="125"/>
        <v>0</v>
      </c>
      <c r="AV108" s="47"/>
      <c r="AW108" s="47"/>
      <c r="AX108" s="47"/>
      <c r="AY108" s="47"/>
      <c r="AZ108" s="47"/>
      <c r="BA108" s="47"/>
      <c r="BB108" s="47"/>
      <c r="BC108" s="47"/>
      <c r="BD108" s="47"/>
      <c r="BE108" s="47"/>
      <c r="BF108" s="47"/>
      <c r="BG108" s="47"/>
      <c r="BH108" s="47"/>
      <c r="BI108" s="47"/>
      <c r="BJ108" s="47"/>
      <c r="BK108" s="47"/>
      <c r="BL108" s="47"/>
      <c r="BM108" s="47">
        <f t="shared" si="141"/>
        <v>0</v>
      </c>
      <c r="BN108" s="92">
        <f t="shared" si="126"/>
        <v>0</v>
      </c>
      <c r="BO108" s="82">
        <f>IF($B108=BQ$20,'Construction Costs_2022'!$K$84+'Construction Costs_2022'!$K$7,0)</f>
        <v>0</v>
      </c>
      <c r="BP108" s="38">
        <f t="shared" si="127"/>
        <v>0</v>
      </c>
      <c r="BQ108" s="38"/>
      <c r="BR108" s="45"/>
      <c r="BS108" s="46">
        <f t="shared" si="142"/>
        <v>0</v>
      </c>
      <c r="BT108" s="41">
        <f t="shared" si="128"/>
        <v>0</v>
      </c>
      <c r="BU108" s="41">
        <f t="shared" si="128"/>
        <v>0</v>
      </c>
      <c r="BV108" s="47">
        <f t="shared" si="128"/>
        <v>0</v>
      </c>
      <c r="BW108" s="47">
        <f t="shared" si="120"/>
        <v>0</v>
      </c>
      <c r="BX108" s="92">
        <f t="shared" si="138"/>
        <v>0</v>
      </c>
      <c r="BY108" s="82">
        <f>IF($B108=CA$20,'Construction Costs_2022'!$K$104+'Construction Costs_2022'!$K$7,0)</f>
        <v>0</v>
      </c>
      <c r="BZ108" s="38">
        <f t="shared" si="129"/>
        <v>0</v>
      </c>
      <c r="CA108" s="38"/>
      <c r="CB108" s="45"/>
      <c r="CC108" s="46">
        <f t="shared" si="143"/>
        <v>0</v>
      </c>
      <c r="CD108" s="41">
        <f t="shared" si="130"/>
        <v>0</v>
      </c>
      <c r="CE108" s="41">
        <f t="shared" si="130"/>
        <v>0</v>
      </c>
      <c r="CF108" s="47">
        <f t="shared" si="130"/>
        <v>0</v>
      </c>
      <c r="CG108" s="47">
        <f t="shared" si="121"/>
        <v>0</v>
      </c>
      <c r="CH108" s="92">
        <f t="shared" si="139"/>
        <v>0</v>
      </c>
      <c r="CI108" s="82">
        <f>IF($B108=DA$20,'OBC Cost _Van Oord 2022'!$E$30,0)</f>
        <v>0</v>
      </c>
      <c r="CJ108" s="38">
        <f t="shared" si="140"/>
        <v>0</v>
      </c>
      <c r="CK108" s="38"/>
      <c r="CL108" s="38"/>
      <c r="CM108" s="38"/>
      <c r="CN108" s="38"/>
      <c r="CO108" s="38"/>
      <c r="CP108" s="38"/>
      <c r="CQ108" s="38"/>
      <c r="CR108" s="38"/>
      <c r="CS108" s="38"/>
      <c r="CT108" s="38"/>
      <c r="CU108" s="38"/>
      <c r="CV108" s="38"/>
      <c r="CW108" s="38"/>
      <c r="CX108" s="38"/>
      <c r="CY108" s="38"/>
      <c r="CZ108" s="38"/>
      <c r="DA108" s="38"/>
      <c r="DB108" s="45">
        <f t="shared" si="147"/>
        <v>0</v>
      </c>
      <c r="DC108" s="45"/>
      <c r="DD108" s="46">
        <f t="shared" si="117"/>
        <v>0</v>
      </c>
      <c r="DE108" s="41">
        <f t="shared" si="144"/>
        <v>0</v>
      </c>
      <c r="DF108" s="41">
        <f t="shared" si="131"/>
        <v>0</v>
      </c>
      <c r="DG108" s="47"/>
      <c r="DH108" s="47"/>
      <c r="DI108" s="47"/>
      <c r="DJ108" s="47"/>
      <c r="DK108" s="47"/>
      <c r="DL108" s="47"/>
      <c r="DM108" s="47"/>
      <c r="DN108" s="47"/>
      <c r="DO108" s="47"/>
      <c r="DP108" s="47"/>
      <c r="DQ108" s="47"/>
      <c r="DR108" s="47"/>
      <c r="DS108" s="47"/>
      <c r="DT108" s="47"/>
      <c r="DU108" s="47"/>
      <c r="DV108" s="47"/>
      <c r="DW108" s="47"/>
      <c r="DX108" s="47">
        <f t="shared" si="145"/>
        <v>0</v>
      </c>
      <c r="DY108" s="92">
        <f t="shared" si="118"/>
        <v>0</v>
      </c>
    </row>
    <row r="109" spans="2:129" s="3" customFormat="1" ht="12.75" x14ac:dyDescent="0.2">
      <c r="B109" s="12">
        <f t="shared" si="132"/>
        <v>84</v>
      </c>
      <c r="C109" s="13">
        <f t="shared" si="148"/>
        <v>7.5439639771399211E-2</v>
      </c>
      <c r="D109" s="82">
        <f>IF($B109=F$20,'Construction Costs_2022'!$K$22+'Construction Costs_2022'!$K$7,0)</f>
        <v>0</v>
      </c>
      <c r="E109" s="38">
        <f t="shared" si="133"/>
        <v>28800</v>
      </c>
      <c r="F109" s="38"/>
      <c r="G109" s="45"/>
      <c r="H109" s="46">
        <f t="shared" si="108"/>
        <v>28800</v>
      </c>
      <c r="I109" s="41">
        <f t="shared" si="122"/>
        <v>0</v>
      </c>
      <c r="J109" s="41">
        <f t="shared" si="122"/>
        <v>2172.6616254162973</v>
      </c>
      <c r="K109" s="47">
        <f t="shared" si="122"/>
        <v>0</v>
      </c>
      <c r="L109" s="47">
        <f t="shared" si="122"/>
        <v>0</v>
      </c>
      <c r="M109" s="92">
        <f t="shared" si="134"/>
        <v>2172.6616254162973</v>
      </c>
      <c r="N109" s="91">
        <f>IF($B109=P$20,'Construction Costs_2022'!$K$43+'Construction Costs_2022'!$K$7,0)</f>
        <v>0</v>
      </c>
      <c r="O109" s="38">
        <f t="shared" si="135"/>
        <v>43200</v>
      </c>
      <c r="P109" s="38"/>
      <c r="Q109" s="45"/>
      <c r="R109" s="46">
        <f t="shared" si="110"/>
        <v>43200</v>
      </c>
      <c r="S109" s="41">
        <f t="shared" si="150"/>
        <v>0</v>
      </c>
      <c r="T109" s="41">
        <f t="shared" si="150"/>
        <v>3258.9924381244459</v>
      </c>
      <c r="U109" s="47">
        <f t="shared" si="149"/>
        <v>0</v>
      </c>
      <c r="V109" s="47">
        <f t="shared" si="151"/>
        <v>0</v>
      </c>
      <c r="W109" s="92">
        <f t="shared" si="136"/>
        <v>3258.9924381244459</v>
      </c>
      <c r="X109" s="82">
        <f>IF($B109=AP$20,'OBC Cost _Van Oord 2022'!$E$30,0)</f>
        <v>0</v>
      </c>
      <c r="Y109" s="38">
        <f t="shared" si="137"/>
        <v>0</v>
      </c>
      <c r="Z109" s="38"/>
      <c r="AA109" s="38"/>
      <c r="AB109" s="38"/>
      <c r="AC109" s="38"/>
      <c r="AD109" s="38"/>
      <c r="AE109" s="38"/>
      <c r="AF109" s="38"/>
      <c r="AG109" s="38"/>
      <c r="AH109" s="38"/>
      <c r="AI109" s="38"/>
      <c r="AJ109" s="38"/>
      <c r="AK109" s="38"/>
      <c r="AL109" s="38"/>
      <c r="AM109" s="38"/>
      <c r="AN109" s="38"/>
      <c r="AO109" s="38"/>
      <c r="AP109" s="38"/>
      <c r="AQ109" s="45">
        <f t="shared" si="146"/>
        <v>0</v>
      </c>
      <c r="AR109" s="45"/>
      <c r="AS109" s="46">
        <f t="shared" si="123"/>
        <v>0</v>
      </c>
      <c r="AT109" s="41">
        <f t="shared" si="124"/>
        <v>0</v>
      </c>
      <c r="AU109" s="41">
        <f t="shared" si="125"/>
        <v>0</v>
      </c>
      <c r="AV109" s="47"/>
      <c r="AW109" s="47"/>
      <c r="AX109" s="47"/>
      <c r="AY109" s="47"/>
      <c r="AZ109" s="47"/>
      <c r="BA109" s="47"/>
      <c r="BB109" s="47"/>
      <c r="BC109" s="47"/>
      <c r="BD109" s="47"/>
      <c r="BE109" s="47"/>
      <c r="BF109" s="47"/>
      <c r="BG109" s="47"/>
      <c r="BH109" s="47"/>
      <c r="BI109" s="47"/>
      <c r="BJ109" s="47"/>
      <c r="BK109" s="47"/>
      <c r="BL109" s="47"/>
      <c r="BM109" s="47">
        <f t="shared" si="141"/>
        <v>0</v>
      </c>
      <c r="BN109" s="92">
        <f t="shared" si="126"/>
        <v>0</v>
      </c>
      <c r="BO109" s="82">
        <f>IF($B109=BQ$20,'Construction Costs_2022'!$K$84+'Construction Costs_2022'!$K$7,0)</f>
        <v>0</v>
      </c>
      <c r="BP109" s="38">
        <f t="shared" si="127"/>
        <v>0</v>
      </c>
      <c r="BQ109" s="38"/>
      <c r="BR109" s="45"/>
      <c r="BS109" s="46">
        <f t="shared" si="142"/>
        <v>0</v>
      </c>
      <c r="BT109" s="41">
        <f t="shared" si="128"/>
        <v>0</v>
      </c>
      <c r="BU109" s="41">
        <f t="shared" si="128"/>
        <v>0</v>
      </c>
      <c r="BV109" s="47">
        <f t="shared" si="128"/>
        <v>0</v>
      </c>
      <c r="BW109" s="47">
        <f t="shared" si="120"/>
        <v>0</v>
      </c>
      <c r="BX109" s="92">
        <f t="shared" si="138"/>
        <v>0</v>
      </c>
      <c r="BY109" s="82">
        <f>IF($B109=CA$20,'Construction Costs_2022'!$K$104+'Construction Costs_2022'!$K$7,0)</f>
        <v>0</v>
      </c>
      <c r="BZ109" s="38">
        <f t="shared" si="129"/>
        <v>0</v>
      </c>
      <c r="CA109" s="38"/>
      <c r="CB109" s="45"/>
      <c r="CC109" s="46">
        <f t="shared" si="143"/>
        <v>0</v>
      </c>
      <c r="CD109" s="41">
        <f t="shared" si="130"/>
        <v>0</v>
      </c>
      <c r="CE109" s="41">
        <f t="shared" si="130"/>
        <v>0</v>
      </c>
      <c r="CF109" s="47">
        <f t="shared" si="130"/>
        <v>0</v>
      </c>
      <c r="CG109" s="47">
        <f t="shared" si="121"/>
        <v>0</v>
      </c>
      <c r="CH109" s="92">
        <f t="shared" si="139"/>
        <v>0</v>
      </c>
      <c r="CI109" s="82">
        <f>IF($B109=DA$20,'OBC Cost _Van Oord 2022'!$E$30,0)</f>
        <v>0</v>
      </c>
      <c r="CJ109" s="38">
        <f t="shared" si="140"/>
        <v>0</v>
      </c>
      <c r="CK109" s="38"/>
      <c r="CL109" s="38"/>
      <c r="CM109" s="38"/>
      <c r="CN109" s="38"/>
      <c r="CO109" s="38"/>
      <c r="CP109" s="38"/>
      <c r="CQ109" s="38"/>
      <c r="CR109" s="38"/>
      <c r="CS109" s="38"/>
      <c r="CT109" s="38"/>
      <c r="CU109" s="38"/>
      <c r="CV109" s="38"/>
      <c r="CW109" s="38"/>
      <c r="CX109" s="38"/>
      <c r="CY109" s="38"/>
      <c r="CZ109" s="38"/>
      <c r="DA109" s="38"/>
      <c r="DB109" s="45">
        <f t="shared" si="147"/>
        <v>0</v>
      </c>
      <c r="DC109" s="45"/>
      <c r="DD109" s="46">
        <f t="shared" si="117"/>
        <v>0</v>
      </c>
      <c r="DE109" s="41">
        <f t="shared" si="144"/>
        <v>0</v>
      </c>
      <c r="DF109" s="41">
        <f t="shared" si="131"/>
        <v>0</v>
      </c>
      <c r="DG109" s="47"/>
      <c r="DH109" s="47"/>
      <c r="DI109" s="47"/>
      <c r="DJ109" s="47"/>
      <c r="DK109" s="47"/>
      <c r="DL109" s="47"/>
      <c r="DM109" s="47"/>
      <c r="DN109" s="47"/>
      <c r="DO109" s="47"/>
      <c r="DP109" s="47"/>
      <c r="DQ109" s="47"/>
      <c r="DR109" s="47"/>
      <c r="DS109" s="47"/>
      <c r="DT109" s="47"/>
      <c r="DU109" s="47"/>
      <c r="DV109" s="47"/>
      <c r="DW109" s="47"/>
      <c r="DX109" s="47">
        <f t="shared" si="145"/>
        <v>0</v>
      </c>
      <c r="DY109" s="92">
        <f t="shared" si="118"/>
        <v>0</v>
      </c>
    </row>
    <row r="110" spans="2:129" s="3" customFormat="1" ht="12.75" x14ac:dyDescent="0.2">
      <c r="B110" s="12">
        <f t="shared" si="132"/>
        <v>85</v>
      </c>
      <c r="C110" s="13">
        <f t="shared" si="148"/>
        <v>7.3599648557462649E-2</v>
      </c>
      <c r="D110" s="82">
        <f>IF($B110=F$20,'Construction Costs_2022'!$K$22+'Construction Costs_2022'!$K$7,0)</f>
        <v>0</v>
      </c>
      <c r="E110" s="38">
        <f t="shared" si="133"/>
        <v>28800</v>
      </c>
      <c r="F110" s="38"/>
      <c r="G110" s="45"/>
      <c r="H110" s="46">
        <f t="shared" si="108"/>
        <v>28800</v>
      </c>
      <c r="I110" s="41">
        <f t="shared" si="122"/>
        <v>0</v>
      </c>
      <c r="J110" s="41">
        <f t="shared" si="122"/>
        <v>2119.6698784549244</v>
      </c>
      <c r="K110" s="47">
        <f t="shared" si="122"/>
        <v>0</v>
      </c>
      <c r="L110" s="47">
        <f t="shared" si="122"/>
        <v>0</v>
      </c>
      <c r="M110" s="92">
        <f t="shared" si="134"/>
        <v>2119.6698784549244</v>
      </c>
      <c r="N110" s="91">
        <f>IF($B110=P$20,'Construction Costs_2022'!$K$43+'Construction Costs_2022'!$K$7,0)</f>
        <v>0</v>
      </c>
      <c r="O110" s="38">
        <f t="shared" si="135"/>
        <v>43200</v>
      </c>
      <c r="P110" s="38"/>
      <c r="Q110" s="45"/>
      <c r="R110" s="46">
        <f t="shared" si="110"/>
        <v>43200</v>
      </c>
      <c r="S110" s="41">
        <f t="shared" si="150"/>
        <v>0</v>
      </c>
      <c r="T110" s="41">
        <f t="shared" si="150"/>
        <v>3179.5048176823866</v>
      </c>
      <c r="U110" s="47">
        <f t="shared" si="149"/>
        <v>0</v>
      </c>
      <c r="V110" s="47">
        <f t="shared" si="151"/>
        <v>0</v>
      </c>
      <c r="W110" s="92">
        <f t="shared" si="136"/>
        <v>3179.5048176823866</v>
      </c>
      <c r="X110" s="82">
        <f>IF($B110=AP$20,'OBC Cost _Van Oord 2022'!$E$30,0)</f>
        <v>0</v>
      </c>
      <c r="Y110" s="38">
        <f t="shared" si="137"/>
        <v>0</v>
      </c>
      <c r="Z110" s="38"/>
      <c r="AA110" s="38"/>
      <c r="AB110" s="38"/>
      <c r="AC110" s="38"/>
      <c r="AD110" s="38"/>
      <c r="AE110" s="38"/>
      <c r="AF110" s="38"/>
      <c r="AG110" s="38"/>
      <c r="AH110" s="38"/>
      <c r="AI110" s="38"/>
      <c r="AJ110" s="38"/>
      <c r="AK110" s="38"/>
      <c r="AL110" s="38"/>
      <c r="AM110" s="38"/>
      <c r="AN110" s="38"/>
      <c r="AO110" s="38"/>
      <c r="AP110" s="38"/>
      <c r="AQ110" s="45">
        <f t="shared" si="146"/>
        <v>0</v>
      </c>
      <c r="AR110" s="45"/>
      <c r="AS110" s="46">
        <f t="shared" si="123"/>
        <v>0</v>
      </c>
      <c r="AT110" s="41">
        <f t="shared" si="124"/>
        <v>0</v>
      </c>
      <c r="AU110" s="41">
        <f t="shared" si="125"/>
        <v>0</v>
      </c>
      <c r="AV110" s="47"/>
      <c r="AW110" s="47"/>
      <c r="AX110" s="47"/>
      <c r="AY110" s="47"/>
      <c r="AZ110" s="47"/>
      <c r="BA110" s="47"/>
      <c r="BB110" s="47"/>
      <c r="BC110" s="47"/>
      <c r="BD110" s="47"/>
      <c r="BE110" s="47"/>
      <c r="BF110" s="47"/>
      <c r="BG110" s="47"/>
      <c r="BH110" s="47"/>
      <c r="BI110" s="47"/>
      <c r="BJ110" s="47"/>
      <c r="BK110" s="47"/>
      <c r="BL110" s="47"/>
      <c r="BM110" s="47">
        <f t="shared" si="141"/>
        <v>0</v>
      </c>
      <c r="BN110" s="92">
        <f t="shared" si="126"/>
        <v>0</v>
      </c>
      <c r="BO110" s="82">
        <f>IF($B110=BQ$20,'Construction Costs_2022'!$K$84+'Construction Costs_2022'!$K$7,0)</f>
        <v>0</v>
      </c>
      <c r="BP110" s="38">
        <f t="shared" si="127"/>
        <v>0</v>
      </c>
      <c r="BQ110" s="38"/>
      <c r="BR110" s="45"/>
      <c r="BS110" s="46">
        <f t="shared" si="142"/>
        <v>0</v>
      </c>
      <c r="BT110" s="41">
        <f t="shared" si="128"/>
        <v>0</v>
      </c>
      <c r="BU110" s="41">
        <f t="shared" si="128"/>
        <v>0</v>
      </c>
      <c r="BV110" s="47">
        <f t="shared" si="128"/>
        <v>0</v>
      </c>
      <c r="BW110" s="47">
        <f t="shared" si="120"/>
        <v>0</v>
      </c>
      <c r="BX110" s="92">
        <f t="shared" si="138"/>
        <v>0</v>
      </c>
      <c r="BY110" s="82">
        <f>IF($B110=CA$20,'Construction Costs_2022'!$K$104+'Construction Costs_2022'!$K$7,0)</f>
        <v>0</v>
      </c>
      <c r="BZ110" s="38">
        <f t="shared" si="129"/>
        <v>0</v>
      </c>
      <c r="CA110" s="38"/>
      <c r="CB110" s="45"/>
      <c r="CC110" s="46">
        <f t="shared" si="143"/>
        <v>0</v>
      </c>
      <c r="CD110" s="41">
        <f t="shared" si="130"/>
        <v>0</v>
      </c>
      <c r="CE110" s="41">
        <f t="shared" si="130"/>
        <v>0</v>
      </c>
      <c r="CF110" s="47">
        <f t="shared" si="130"/>
        <v>0</v>
      </c>
      <c r="CG110" s="47">
        <f t="shared" si="121"/>
        <v>0</v>
      </c>
      <c r="CH110" s="92">
        <f t="shared" si="139"/>
        <v>0</v>
      </c>
      <c r="CI110" s="82">
        <f>IF($B110=DA$20,'OBC Cost _Van Oord 2022'!$E$30,0)</f>
        <v>0</v>
      </c>
      <c r="CJ110" s="38">
        <f t="shared" si="140"/>
        <v>0</v>
      </c>
      <c r="CK110" s="38"/>
      <c r="CL110" s="38"/>
      <c r="CM110" s="38"/>
      <c r="CN110" s="38"/>
      <c r="CO110" s="38"/>
      <c r="CP110" s="38"/>
      <c r="CQ110" s="38"/>
      <c r="CR110" s="38"/>
      <c r="CS110" s="38"/>
      <c r="CT110" s="38"/>
      <c r="CU110" s="38"/>
      <c r="CV110" s="38"/>
      <c r="CW110" s="38"/>
      <c r="CX110" s="38"/>
      <c r="CY110" s="38"/>
      <c r="CZ110" s="38"/>
      <c r="DA110" s="38"/>
      <c r="DB110" s="45">
        <f t="shared" si="147"/>
        <v>0</v>
      </c>
      <c r="DC110" s="45"/>
      <c r="DD110" s="46">
        <f t="shared" si="117"/>
        <v>0</v>
      </c>
      <c r="DE110" s="41">
        <f t="shared" si="144"/>
        <v>0</v>
      </c>
      <c r="DF110" s="41">
        <f t="shared" si="131"/>
        <v>0</v>
      </c>
      <c r="DG110" s="47"/>
      <c r="DH110" s="47"/>
      <c r="DI110" s="47"/>
      <c r="DJ110" s="47"/>
      <c r="DK110" s="47"/>
      <c r="DL110" s="47"/>
      <c r="DM110" s="47"/>
      <c r="DN110" s="47"/>
      <c r="DO110" s="47"/>
      <c r="DP110" s="47"/>
      <c r="DQ110" s="47"/>
      <c r="DR110" s="47"/>
      <c r="DS110" s="47"/>
      <c r="DT110" s="47"/>
      <c r="DU110" s="47"/>
      <c r="DV110" s="47"/>
      <c r="DW110" s="47"/>
      <c r="DX110" s="47">
        <f t="shared" si="145"/>
        <v>0</v>
      </c>
      <c r="DY110" s="92">
        <f t="shared" si="118"/>
        <v>0</v>
      </c>
    </row>
    <row r="111" spans="2:129" s="3" customFormat="1" ht="12.75" x14ac:dyDescent="0.2">
      <c r="B111" s="12">
        <f t="shared" si="132"/>
        <v>86</v>
      </c>
      <c r="C111" s="13">
        <f t="shared" si="148"/>
        <v>7.1804535178012344E-2</v>
      </c>
      <c r="D111" s="82">
        <f>IF($B111=F$20,'Construction Costs_2022'!$K$22+'Construction Costs_2022'!$K$7,0)</f>
        <v>0</v>
      </c>
      <c r="E111" s="38">
        <f t="shared" si="133"/>
        <v>28800</v>
      </c>
      <c r="F111" s="38"/>
      <c r="G111" s="45"/>
      <c r="H111" s="46">
        <f t="shared" si="108"/>
        <v>28800</v>
      </c>
      <c r="I111" s="41">
        <f t="shared" si="122"/>
        <v>0</v>
      </c>
      <c r="J111" s="41">
        <f t="shared" si="122"/>
        <v>2067.9706131267553</v>
      </c>
      <c r="K111" s="47">
        <f t="shared" si="122"/>
        <v>0</v>
      </c>
      <c r="L111" s="47">
        <f t="shared" si="122"/>
        <v>0</v>
      </c>
      <c r="M111" s="92">
        <f t="shared" si="134"/>
        <v>2067.9706131267553</v>
      </c>
      <c r="N111" s="91">
        <f>IF($B111=P$20,'Construction Costs_2022'!$K$43+'Construction Costs_2022'!$K$7,0)</f>
        <v>0</v>
      </c>
      <c r="O111" s="38">
        <f t="shared" si="135"/>
        <v>43200</v>
      </c>
      <c r="P111" s="38"/>
      <c r="Q111" s="45"/>
      <c r="R111" s="46">
        <f t="shared" si="110"/>
        <v>43200</v>
      </c>
      <c r="S111" s="41">
        <f t="shared" si="150"/>
        <v>0</v>
      </c>
      <c r="T111" s="41">
        <f t="shared" si="150"/>
        <v>3101.9559196901332</v>
      </c>
      <c r="U111" s="47">
        <f t="shared" si="149"/>
        <v>0</v>
      </c>
      <c r="V111" s="47">
        <f t="shared" si="151"/>
        <v>0</v>
      </c>
      <c r="W111" s="92">
        <f t="shared" si="136"/>
        <v>3101.9559196901332</v>
      </c>
      <c r="X111" s="82">
        <f>IF($B111=AP$20,'OBC Cost _Van Oord 2022'!$E$30,0)</f>
        <v>0</v>
      </c>
      <c r="Y111" s="38">
        <f t="shared" si="137"/>
        <v>0</v>
      </c>
      <c r="Z111" s="38"/>
      <c r="AA111" s="38"/>
      <c r="AB111" s="38"/>
      <c r="AC111" s="38"/>
      <c r="AD111" s="38"/>
      <c r="AE111" s="38"/>
      <c r="AF111" s="38"/>
      <c r="AG111" s="38"/>
      <c r="AH111" s="38"/>
      <c r="AI111" s="38"/>
      <c r="AJ111" s="38"/>
      <c r="AK111" s="38"/>
      <c r="AL111" s="38"/>
      <c r="AM111" s="38"/>
      <c r="AN111" s="38"/>
      <c r="AO111" s="38"/>
      <c r="AP111" s="38"/>
      <c r="AQ111" s="45">
        <f t="shared" si="146"/>
        <v>0</v>
      </c>
      <c r="AR111" s="45"/>
      <c r="AS111" s="46">
        <f t="shared" si="123"/>
        <v>0</v>
      </c>
      <c r="AT111" s="41">
        <f t="shared" si="124"/>
        <v>0</v>
      </c>
      <c r="AU111" s="41">
        <f t="shared" si="125"/>
        <v>0</v>
      </c>
      <c r="AV111" s="47"/>
      <c r="AW111" s="47"/>
      <c r="AX111" s="47"/>
      <c r="AY111" s="47"/>
      <c r="AZ111" s="47"/>
      <c r="BA111" s="47"/>
      <c r="BB111" s="47"/>
      <c r="BC111" s="47"/>
      <c r="BD111" s="47"/>
      <c r="BE111" s="47"/>
      <c r="BF111" s="47"/>
      <c r="BG111" s="47"/>
      <c r="BH111" s="47"/>
      <c r="BI111" s="47"/>
      <c r="BJ111" s="47"/>
      <c r="BK111" s="47"/>
      <c r="BL111" s="47"/>
      <c r="BM111" s="47">
        <f t="shared" si="141"/>
        <v>0</v>
      </c>
      <c r="BN111" s="92">
        <f t="shared" si="126"/>
        <v>0</v>
      </c>
      <c r="BO111" s="82">
        <f>IF($B111=BQ$20,'Construction Costs_2022'!$K$84+'Construction Costs_2022'!$K$7,0)</f>
        <v>0</v>
      </c>
      <c r="BP111" s="38">
        <f t="shared" si="127"/>
        <v>0</v>
      </c>
      <c r="BQ111" s="38"/>
      <c r="BR111" s="45"/>
      <c r="BS111" s="46">
        <f t="shared" si="142"/>
        <v>0</v>
      </c>
      <c r="BT111" s="41">
        <f t="shared" si="128"/>
        <v>0</v>
      </c>
      <c r="BU111" s="41">
        <f t="shared" si="128"/>
        <v>0</v>
      </c>
      <c r="BV111" s="47">
        <f t="shared" si="128"/>
        <v>0</v>
      </c>
      <c r="BW111" s="47">
        <f t="shared" si="120"/>
        <v>0</v>
      </c>
      <c r="BX111" s="92">
        <f t="shared" si="138"/>
        <v>0</v>
      </c>
      <c r="BY111" s="82">
        <f>IF($B111=CA$20,'Construction Costs_2022'!$K$104+'Construction Costs_2022'!$K$7,0)</f>
        <v>0</v>
      </c>
      <c r="BZ111" s="38">
        <f t="shared" si="129"/>
        <v>0</v>
      </c>
      <c r="CA111" s="38"/>
      <c r="CB111" s="45"/>
      <c r="CC111" s="46">
        <f t="shared" si="143"/>
        <v>0</v>
      </c>
      <c r="CD111" s="41">
        <f t="shared" si="130"/>
        <v>0</v>
      </c>
      <c r="CE111" s="41">
        <f t="shared" si="130"/>
        <v>0</v>
      </c>
      <c r="CF111" s="47">
        <f t="shared" si="130"/>
        <v>0</v>
      </c>
      <c r="CG111" s="47">
        <f t="shared" si="121"/>
        <v>0</v>
      </c>
      <c r="CH111" s="92">
        <f t="shared" si="139"/>
        <v>0</v>
      </c>
      <c r="CI111" s="82">
        <f>IF($B111=DA$20,'OBC Cost _Van Oord 2022'!$E$30,0)</f>
        <v>0</v>
      </c>
      <c r="CJ111" s="38">
        <f t="shared" si="140"/>
        <v>0</v>
      </c>
      <c r="CK111" s="38"/>
      <c r="CL111" s="38"/>
      <c r="CM111" s="38"/>
      <c r="CN111" s="38"/>
      <c r="CO111" s="38"/>
      <c r="CP111" s="38"/>
      <c r="CQ111" s="38"/>
      <c r="CR111" s="38"/>
      <c r="CS111" s="38"/>
      <c r="CT111" s="38"/>
      <c r="CU111" s="38"/>
      <c r="CV111" s="38"/>
      <c r="CW111" s="38"/>
      <c r="CX111" s="38"/>
      <c r="CY111" s="38"/>
      <c r="CZ111" s="38"/>
      <c r="DA111" s="38"/>
      <c r="DB111" s="45">
        <f t="shared" si="147"/>
        <v>0</v>
      </c>
      <c r="DC111" s="45"/>
      <c r="DD111" s="46">
        <f t="shared" si="117"/>
        <v>0</v>
      </c>
      <c r="DE111" s="41">
        <f t="shared" si="144"/>
        <v>0</v>
      </c>
      <c r="DF111" s="41">
        <f t="shared" si="131"/>
        <v>0</v>
      </c>
      <c r="DG111" s="47"/>
      <c r="DH111" s="47"/>
      <c r="DI111" s="47"/>
      <c r="DJ111" s="47"/>
      <c r="DK111" s="47"/>
      <c r="DL111" s="47"/>
      <c r="DM111" s="47"/>
      <c r="DN111" s="47"/>
      <c r="DO111" s="47"/>
      <c r="DP111" s="47"/>
      <c r="DQ111" s="47"/>
      <c r="DR111" s="47"/>
      <c r="DS111" s="47"/>
      <c r="DT111" s="47"/>
      <c r="DU111" s="47"/>
      <c r="DV111" s="47"/>
      <c r="DW111" s="47"/>
      <c r="DX111" s="47">
        <f t="shared" si="145"/>
        <v>0</v>
      </c>
      <c r="DY111" s="92">
        <f t="shared" si="118"/>
        <v>0</v>
      </c>
    </row>
    <row r="112" spans="2:129" s="3" customFormat="1" ht="12.75" x14ac:dyDescent="0.2">
      <c r="B112" s="12">
        <f t="shared" si="132"/>
        <v>87</v>
      </c>
      <c r="C112" s="13">
        <f t="shared" si="148"/>
        <v>7.0053205051719372E-2</v>
      </c>
      <c r="D112" s="82">
        <f>IF($B112=F$20,'Construction Costs_2022'!$K$22+'Construction Costs_2022'!$K$7,0)</f>
        <v>0</v>
      </c>
      <c r="E112" s="38">
        <f t="shared" si="133"/>
        <v>28800</v>
      </c>
      <c r="F112" s="38"/>
      <c r="G112" s="45"/>
      <c r="H112" s="46">
        <f t="shared" si="108"/>
        <v>28800</v>
      </c>
      <c r="I112" s="41">
        <f t="shared" si="122"/>
        <v>0</v>
      </c>
      <c r="J112" s="41">
        <f t="shared" si="122"/>
        <v>2017.532305489518</v>
      </c>
      <c r="K112" s="47">
        <f t="shared" si="122"/>
        <v>0</v>
      </c>
      <c r="L112" s="47">
        <f t="shared" si="122"/>
        <v>0</v>
      </c>
      <c r="M112" s="92">
        <f t="shared" si="134"/>
        <v>2017.532305489518</v>
      </c>
      <c r="N112" s="91">
        <f>IF($B112=P$20,'Construction Costs_2022'!$K$43+'Construction Costs_2022'!$K$7,0)</f>
        <v>0</v>
      </c>
      <c r="O112" s="38">
        <f t="shared" si="135"/>
        <v>43200</v>
      </c>
      <c r="P112" s="38"/>
      <c r="Q112" s="45"/>
      <c r="R112" s="46">
        <f t="shared" si="110"/>
        <v>43200</v>
      </c>
      <c r="S112" s="41">
        <f t="shared" si="150"/>
        <v>0</v>
      </c>
      <c r="T112" s="41">
        <f t="shared" si="150"/>
        <v>3026.2984582342769</v>
      </c>
      <c r="U112" s="47">
        <f t="shared" si="149"/>
        <v>0</v>
      </c>
      <c r="V112" s="47">
        <f t="shared" si="151"/>
        <v>0</v>
      </c>
      <c r="W112" s="92">
        <f t="shared" si="136"/>
        <v>3026.2984582342769</v>
      </c>
      <c r="X112" s="82">
        <f>IF($B112=AP$20,'OBC Cost _Van Oord 2022'!$E$30,0)</f>
        <v>0</v>
      </c>
      <c r="Y112" s="38">
        <f t="shared" si="137"/>
        <v>86400</v>
      </c>
      <c r="Z112" s="38"/>
      <c r="AA112" s="38"/>
      <c r="AB112" s="38"/>
      <c r="AC112" s="38"/>
      <c r="AD112" s="38"/>
      <c r="AE112" s="38"/>
      <c r="AF112" s="38"/>
      <c r="AG112" s="38"/>
      <c r="AH112" s="38"/>
      <c r="AI112" s="38"/>
      <c r="AJ112" s="38"/>
      <c r="AK112" s="38"/>
      <c r="AL112" s="38"/>
      <c r="AM112" s="38"/>
      <c r="AN112" s="38"/>
      <c r="AO112" s="38"/>
      <c r="AP112" s="38"/>
      <c r="AQ112" s="45">
        <f t="shared" si="146"/>
        <v>22464</v>
      </c>
      <c r="AR112" s="45"/>
      <c r="AS112" s="46">
        <f t="shared" si="123"/>
        <v>108864</v>
      </c>
      <c r="AT112" s="41">
        <f t="shared" si="124"/>
        <v>0</v>
      </c>
      <c r="AU112" s="41">
        <f t="shared" si="125"/>
        <v>6052.5969164685539</v>
      </c>
      <c r="AV112" s="47"/>
      <c r="AW112" s="47"/>
      <c r="AX112" s="47"/>
      <c r="AY112" s="47"/>
      <c r="AZ112" s="47"/>
      <c r="BA112" s="47"/>
      <c r="BB112" s="47"/>
      <c r="BC112" s="47"/>
      <c r="BD112" s="47"/>
      <c r="BE112" s="47"/>
      <c r="BF112" s="47"/>
      <c r="BG112" s="47"/>
      <c r="BH112" s="47"/>
      <c r="BI112" s="47"/>
      <c r="BJ112" s="47"/>
      <c r="BK112" s="47"/>
      <c r="BL112" s="47"/>
      <c r="BM112" s="47">
        <f t="shared" si="141"/>
        <v>1573.6751982818239</v>
      </c>
      <c r="BN112" s="92">
        <f t="shared" si="126"/>
        <v>7626.272114750378</v>
      </c>
      <c r="BO112" s="82">
        <f>IF($B112=BQ$20,'Construction Costs_2022'!$K$84+'Construction Costs_2022'!$K$7,0)</f>
        <v>0</v>
      </c>
      <c r="BP112" s="38">
        <f t="shared" si="127"/>
        <v>100800</v>
      </c>
      <c r="BQ112" s="38"/>
      <c r="BR112" s="45"/>
      <c r="BS112" s="46">
        <f t="shared" si="142"/>
        <v>100800</v>
      </c>
      <c r="BT112" s="41">
        <f t="shared" si="128"/>
        <v>0</v>
      </c>
      <c r="BU112" s="41">
        <f t="shared" si="128"/>
        <v>7061.3630692133129</v>
      </c>
      <c r="BV112" s="47">
        <f t="shared" si="128"/>
        <v>0</v>
      </c>
      <c r="BW112" s="47">
        <f t="shared" si="120"/>
        <v>0</v>
      </c>
      <c r="BX112" s="92">
        <f t="shared" si="138"/>
        <v>7061.3630692133129</v>
      </c>
      <c r="BY112" s="82">
        <f>IF($B112=CA$20,'Construction Costs_2022'!$K$104+'Construction Costs_2022'!$K$7,0)</f>
        <v>0</v>
      </c>
      <c r="BZ112" s="38">
        <f t="shared" si="129"/>
        <v>57600</v>
      </c>
      <c r="CA112" s="38"/>
      <c r="CB112" s="45"/>
      <c r="CC112" s="46">
        <f t="shared" si="143"/>
        <v>57600</v>
      </c>
      <c r="CD112" s="41">
        <f t="shared" si="130"/>
        <v>0</v>
      </c>
      <c r="CE112" s="41">
        <f t="shared" si="130"/>
        <v>4035.0646109790359</v>
      </c>
      <c r="CF112" s="47">
        <f t="shared" si="130"/>
        <v>0</v>
      </c>
      <c r="CG112" s="47">
        <f t="shared" si="121"/>
        <v>0</v>
      </c>
      <c r="CH112" s="92">
        <f t="shared" si="139"/>
        <v>4035.0646109790359</v>
      </c>
      <c r="CI112" s="82">
        <f>IF($B112=DA$20,'OBC Cost _Van Oord 2022'!$E$30,0)</f>
        <v>0</v>
      </c>
      <c r="CJ112" s="38">
        <f t="shared" si="140"/>
        <v>86400</v>
      </c>
      <c r="CK112" s="38"/>
      <c r="CL112" s="38"/>
      <c r="CM112" s="38"/>
      <c r="CN112" s="38"/>
      <c r="CO112" s="38"/>
      <c r="CP112" s="38"/>
      <c r="CQ112" s="38"/>
      <c r="CR112" s="38"/>
      <c r="CS112" s="38"/>
      <c r="CT112" s="38"/>
      <c r="CU112" s="38"/>
      <c r="CV112" s="38"/>
      <c r="CW112" s="38"/>
      <c r="CX112" s="38"/>
      <c r="CY112" s="38"/>
      <c r="CZ112" s="38"/>
      <c r="DA112" s="38"/>
      <c r="DB112" s="45">
        <f t="shared" si="147"/>
        <v>25920</v>
      </c>
      <c r="DC112" s="45"/>
      <c r="DD112" s="46">
        <f t="shared" si="117"/>
        <v>112320</v>
      </c>
      <c r="DE112" s="41">
        <f t="shared" si="144"/>
        <v>0</v>
      </c>
      <c r="DF112" s="41">
        <f t="shared" si="131"/>
        <v>6052.5969164685539</v>
      </c>
      <c r="DG112" s="47"/>
      <c r="DH112" s="47"/>
      <c r="DI112" s="47"/>
      <c r="DJ112" s="47"/>
      <c r="DK112" s="47"/>
      <c r="DL112" s="47"/>
      <c r="DM112" s="47"/>
      <c r="DN112" s="47"/>
      <c r="DO112" s="47"/>
      <c r="DP112" s="47"/>
      <c r="DQ112" s="47"/>
      <c r="DR112" s="47"/>
      <c r="DS112" s="47"/>
      <c r="DT112" s="47"/>
      <c r="DU112" s="47"/>
      <c r="DV112" s="47"/>
      <c r="DW112" s="47"/>
      <c r="DX112" s="47">
        <f t="shared" si="145"/>
        <v>1815.779074940566</v>
      </c>
      <c r="DY112" s="92">
        <f t="shared" si="118"/>
        <v>7868.3759914091197</v>
      </c>
    </row>
    <row r="113" spans="2:129" s="3" customFormat="1" ht="12.75" x14ac:dyDescent="0.2">
      <c r="B113" s="12">
        <f t="shared" si="132"/>
        <v>88</v>
      </c>
      <c r="C113" s="13">
        <f t="shared" si="148"/>
        <v>6.8344590294360366E-2</v>
      </c>
      <c r="D113" s="82">
        <f>IF($B113=F$20,'Construction Costs_2022'!$K$22+'Construction Costs_2022'!$K$7,0)</f>
        <v>0</v>
      </c>
      <c r="E113" s="38">
        <f t="shared" si="133"/>
        <v>28800</v>
      </c>
      <c r="F113" s="38"/>
      <c r="G113" s="45"/>
      <c r="H113" s="46">
        <f t="shared" si="108"/>
        <v>28800</v>
      </c>
      <c r="I113" s="41">
        <f t="shared" si="122"/>
        <v>0</v>
      </c>
      <c r="J113" s="41">
        <f t="shared" si="122"/>
        <v>1968.3242004775786</v>
      </c>
      <c r="K113" s="47">
        <f t="shared" si="122"/>
        <v>0</v>
      </c>
      <c r="L113" s="47">
        <f t="shared" si="122"/>
        <v>0</v>
      </c>
      <c r="M113" s="92">
        <f t="shared" si="134"/>
        <v>1968.3242004775786</v>
      </c>
      <c r="N113" s="91">
        <f>IF($B113=P$20,'Construction Costs_2022'!$K$43+'Construction Costs_2022'!$K$7,0)</f>
        <v>0</v>
      </c>
      <c r="O113" s="38">
        <f t="shared" si="135"/>
        <v>43200</v>
      </c>
      <c r="P113" s="38"/>
      <c r="Q113" s="45"/>
      <c r="R113" s="46">
        <f t="shared" si="110"/>
        <v>43200</v>
      </c>
      <c r="S113" s="41">
        <f t="shared" si="150"/>
        <v>0</v>
      </c>
      <c r="T113" s="41">
        <f t="shared" si="150"/>
        <v>2952.4863007163676</v>
      </c>
      <c r="U113" s="47">
        <f t="shared" si="149"/>
        <v>0</v>
      </c>
      <c r="V113" s="47">
        <f t="shared" si="151"/>
        <v>0</v>
      </c>
      <c r="W113" s="92">
        <f t="shared" si="136"/>
        <v>2952.4863007163676</v>
      </c>
      <c r="X113" s="82">
        <f>IF($B113=AP$20,'OBC Cost _Van Oord 2022'!$E$30,0)</f>
        <v>0</v>
      </c>
      <c r="Y113" s="38">
        <f t="shared" si="137"/>
        <v>0</v>
      </c>
      <c r="Z113" s="38"/>
      <c r="AA113" s="38"/>
      <c r="AB113" s="38"/>
      <c r="AC113" s="38"/>
      <c r="AD113" s="38"/>
      <c r="AE113" s="38"/>
      <c r="AF113" s="38"/>
      <c r="AG113" s="38"/>
      <c r="AH113" s="38"/>
      <c r="AI113" s="38"/>
      <c r="AJ113" s="38"/>
      <c r="AK113" s="38"/>
      <c r="AL113" s="38"/>
      <c r="AM113" s="38"/>
      <c r="AN113" s="38"/>
      <c r="AO113" s="38"/>
      <c r="AP113" s="38"/>
      <c r="AQ113" s="45">
        <f t="shared" si="146"/>
        <v>0</v>
      </c>
      <c r="AR113" s="45"/>
      <c r="AS113" s="46">
        <f t="shared" si="123"/>
        <v>0</v>
      </c>
      <c r="AT113" s="41">
        <f t="shared" si="124"/>
        <v>0</v>
      </c>
      <c r="AU113" s="41">
        <f t="shared" si="125"/>
        <v>0</v>
      </c>
      <c r="AV113" s="47"/>
      <c r="AW113" s="47"/>
      <c r="AX113" s="47"/>
      <c r="AY113" s="47"/>
      <c r="AZ113" s="47"/>
      <c r="BA113" s="47"/>
      <c r="BB113" s="47"/>
      <c r="BC113" s="47"/>
      <c r="BD113" s="47"/>
      <c r="BE113" s="47"/>
      <c r="BF113" s="47"/>
      <c r="BG113" s="47"/>
      <c r="BH113" s="47"/>
      <c r="BI113" s="47"/>
      <c r="BJ113" s="47"/>
      <c r="BK113" s="47"/>
      <c r="BL113" s="47"/>
      <c r="BM113" s="47">
        <f t="shared" si="141"/>
        <v>0</v>
      </c>
      <c r="BN113" s="92">
        <f t="shared" si="126"/>
        <v>0</v>
      </c>
      <c r="BO113" s="82">
        <f>IF($B113=BQ$20,'Construction Costs_2022'!$K$84+'Construction Costs_2022'!$K$7,0)</f>
        <v>0</v>
      </c>
      <c r="BP113" s="38">
        <f t="shared" si="127"/>
        <v>0</v>
      </c>
      <c r="BQ113" s="38"/>
      <c r="BR113" s="45"/>
      <c r="BS113" s="46">
        <f t="shared" si="142"/>
        <v>0</v>
      </c>
      <c r="BT113" s="41">
        <f t="shared" si="128"/>
        <v>0</v>
      </c>
      <c r="BU113" s="41">
        <f t="shared" si="128"/>
        <v>0</v>
      </c>
      <c r="BV113" s="47">
        <f t="shared" si="128"/>
        <v>0</v>
      </c>
      <c r="BW113" s="47">
        <f t="shared" si="120"/>
        <v>0</v>
      </c>
      <c r="BX113" s="92">
        <f t="shared" si="138"/>
        <v>0</v>
      </c>
      <c r="BY113" s="82">
        <f>IF($B113=CA$20,'Construction Costs_2022'!$K$104+'Construction Costs_2022'!$K$7,0)</f>
        <v>0</v>
      </c>
      <c r="BZ113" s="38">
        <f t="shared" si="129"/>
        <v>0</v>
      </c>
      <c r="CA113" s="38"/>
      <c r="CB113" s="45"/>
      <c r="CC113" s="46">
        <f t="shared" si="143"/>
        <v>0</v>
      </c>
      <c r="CD113" s="41">
        <f t="shared" si="130"/>
        <v>0</v>
      </c>
      <c r="CE113" s="41">
        <f t="shared" si="130"/>
        <v>0</v>
      </c>
      <c r="CF113" s="47">
        <f t="shared" si="130"/>
        <v>0</v>
      </c>
      <c r="CG113" s="47">
        <f t="shared" si="121"/>
        <v>0</v>
      </c>
      <c r="CH113" s="92">
        <f t="shared" si="139"/>
        <v>0</v>
      </c>
      <c r="CI113" s="82">
        <f>IF($B113=DA$20,'OBC Cost _Van Oord 2022'!$E$30,0)</f>
        <v>0</v>
      </c>
      <c r="CJ113" s="38">
        <f t="shared" si="140"/>
        <v>0</v>
      </c>
      <c r="CK113" s="38"/>
      <c r="CL113" s="38"/>
      <c r="CM113" s="38"/>
      <c r="CN113" s="38"/>
      <c r="CO113" s="38"/>
      <c r="CP113" s="38"/>
      <c r="CQ113" s="38"/>
      <c r="CR113" s="38"/>
      <c r="CS113" s="38"/>
      <c r="CT113" s="38"/>
      <c r="CU113" s="38"/>
      <c r="CV113" s="38"/>
      <c r="CW113" s="38"/>
      <c r="CX113" s="38"/>
      <c r="CY113" s="38"/>
      <c r="CZ113" s="38"/>
      <c r="DA113" s="38"/>
      <c r="DB113" s="45">
        <f t="shared" si="147"/>
        <v>0</v>
      </c>
      <c r="DC113" s="45"/>
      <c r="DD113" s="46">
        <f t="shared" si="117"/>
        <v>0</v>
      </c>
      <c r="DE113" s="41">
        <f t="shared" si="144"/>
        <v>0</v>
      </c>
      <c r="DF113" s="41">
        <f t="shared" si="131"/>
        <v>0</v>
      </c>
      <c r="DG113" s="47"/>
      <c r="DH113" s="47"/>
      <c r="DI113" s="47"/>
      <c r="DJ113" s="47"/>
      <c r="DK113" s="47"/>
      <c r="DL113" s="47"/>
      <c r="DM113" s="47"/>
      <c r="DN113" s="47"/>
      <c r="DO113" s="47"/>
      <c r="DP113" s="47"/>
      <c r="DQ113" s="47"/>
      <c r="DR113" s="47"/>
      <c r="DS113" s="47"/>
      <c r="DT113" s="47"/>
      <c r="DU113" s="47"/>
      <c r="DV113" s="47"/>
      <c r="DW113" s="47"/>
      <c r="DX113" s="47">
        <f t="shared" si="145"/>
        <v>0</v>
      </c>
      <c r="DY113" s="92">
        <f t="shared" si="118"/>
        <v>0</v>
      </c>
    </row>
    <row r="114" spans="2:129" s="3" customFormat="1" ht="12.75" x14ac:dyDescent="0.2">
      <c r="B114" s="12">
        <f t="shared" si="132"/>
        <v>89</v>
      </c>
      <c r="C114" s="13">
        <f t="shared" si="148"/>
        <v>6.6677649067668654E-2</v>
      </c>
      <c r="D114" s="82">
        <f>IF($B114=F$20,'Construction Costs_2022'!$K$22+'Construction Costs_2022'!$K$7,0)</f>
        <v>0</v>
      </c>
      <c r="E114" s="38">
        <f t="shared" si="133"/>
        <v>28800</v>
      </c>
      <c r="F114" s="38"/>
      <c r="G114" s="45"/>
      <c r="H114" s="46">
        <f t="shared" si="108"/>
        <v>28800</v>
      </c>
      <c r="I114" s="41">
        <f t="shared" si="122"/>
        <v>0</v>
      </c>
      <c r="J114" s="41">
        <f t="shared" si="122"/>
        <v>1920.3162931488573</v>
      </c>
      <c r="K114" s="47">
        <f t="shared" si="122"/>
        <v>0</v>
      </c>
      <c r="L114" s="47">
        <f t="shared" si="122"/>
        <v>0</v>
      </c>
      <c r="M114" s="92">
        <f t="shared" si="134"/>
        <v>1920.3162931488573</v>
      </c>
      <c r="N114" s="91">
        <f>IF($B114=P$20,'Construction Costs_2022'!$K$43+'Construction Costs_2022'!$K$7,0)</f>
        <v>0</v>
      </c>
      <c r="O114" s="38">
        <f t="shared" si="135"/>
        <v>43200</v>
      </c>
      <c r="P114" s="38"/>
      <c r="Q114" s="45"/>
      <c r="R114" s="46">
        <f t="shared" si="110"/>
        <v>43200</v>
      </c>
      <c r="S114" s="41">
        <f t="shared" si="150"/>
        <v>0</v>
      </c>
      <c r="T114" s="41">
        <f t="shared" si="150"/>
        <v>2880.4744397232857</v>
      </c>
      <c r="U114" s="47">
        <f t="shared" si="149"/>
        <v>0</v>
      </c>
      <c r="V114" s="47">
        <f t="shared" si="151"/>
        <v>0</v>
      </c>
      <c r="W114" s="92">
        <f t="shared" si="136"/>
        <v>2880.4744397232857</v>
      </c>
      <c r="X114" s="82">
        <f>IF($B114=AP$20,'OBC Cost _Van Oord 2022'!$E$30,0)</f>
        <v>0</v>
      </c>
      <c r="Y114" s="38">
        <f t="shared" si="137"/>
        <v>0</v>
      </c>
      <c r="Z114" s="38"/>
      <c r="AA114" s="38"/>
      <c r="AB114" s="38"/>
      <c r="AC114" s="38"/>
      <c r="AD114" s="38"/>
      <c r="AE114" s="38"/>
      <c r="AF114" s="38"/>
      <c r="AG114" s="38"/>
      <c r="AH114" s="38"/>
      <c r="AI114" s="38"/>
      <c r="AJ114" s="38"/>
      <c r="AK114" s="38"/>
      <c r="AL114" s="38"/>
      <c r="AM114" s="38"/>
      <c r="AN114" s="38"/>
      <c r="AO114" s="38"/>
      <c r="AP114" s="38"/>
      <c r="AQ114" s="45">
        <f t="shared" si="146"/>
        <v>0</v>
      </c>
      <c r="AR114" s="45"/>
      <c r="AS114" s="46">
        <f t="shared" si="123"/>
        <v>0</v>
      </c>
      <c r="AT114" s="41">
        <f t="shared" si="124"/>
        <v>0</v>
      </c>
      <c r="AU114" s="41">
        <f t="shared" si="125"/>
        <v>0</v>
      </c>
      <c r="AV114" s="47"/>
      <c r="AW114" s="47"/>
      <c r="AX114" s="47"/>
      <c r="AY114" s="47"/>
      <c r="AZ114" s="47"/>
      <c r="BA114" s="47"/>
      <c r="BB114" s="47"/>
      <c r="BC114" s="47"/>
      <c r="BD114" s="47"/>
      <c r="BE114" s="47"/>
      <c r="BF114" s="47"/>
      <c r="BG114" s="47"/>
      <c r="BH114" s="47"/>
      <c r="BI114" s="47"/>
      <c r="BJ114" s="47"/>
      <c r="BK114" s="47"/>
      <c r="BL114" s="47"/>
      <c r="BM114" s="47">
        <f t="shared" si="141"/>
        <v>0</v>
      </c>
      <c r="BN114" s="92">
        <f t="shared" si="126"/>
        <v>0</v>
      </c>
      <c r="BO114" s="82">
        <f>IF($B114=BQ$20,'Construction Costs_2022'!$K$84+'Construction Costs_2022'!$K$7,0)</f>
        <v>0</v>
      </c>
      <c r="BP114" s="38">
        <f t="shared" si="127"/>
        <v>0</v>
      </c>
      <c r="BQ114" s="38"/>
      <c r="BR114" s="45"/>
      <c r="BS114" s="46">
        <f t="shared" si="142"/>
        <v>0</v>
      </c>
      <c r="BT114" s="41">
        <f t="shared" si="128"/>
        <v>0</v>
      </c>
      <c r="BU114" s="41">
        <f t="shared" si="128"/>
        <v>0</v>
      </c>
      <c r="BV114" s="47">
        <f t="shared" si="128"/>
        <v>0</v>
      </c>
      <c r="BW114" s="47">
        <f t="shared" si="120"/>
        <v>0</v>
      </c>
      <c r="BX114" s="92">
        <f t="shared" si="138"/>
        <v>0</v>
      </c>
      <c r="BY114" s="82">
        <f>IF($B114=CA$20,'Construction Costs_2022'!$K$104+'Construction Costs_2022'!$K$7,0)</f>
        <v>0</v>
      </c>
      <c r="BZ114" s="38">
        <f t="shared" si="129"/>
        <v>0</v>
      </c>
      <c r="CA114" s="38"/>
      <c r="CB114" s="45"/>
      <c r="CC114" s="46">
        <f t="shared" si="143"/>
        <v>0</v>
      </c>
      <c r="CD114" s="41">
        <f t="shared" si="130"/>
        <v>0</v>
      </c>
      <c r="CE114" s="41">
        <f t="shared" si="130"/>
        <v>0</v>
      </c>
      <c r="CF114" s="47">
        <f t="shared" si="130"/>
        <v>0</v>
      </c>
      <c r="CG114" s="47">
        <f t="shared" si="121"/>
        <v>0</v>
      </c>
      <c r="CH114" s="92">
        <f t="shared" si="139"/>
        <v>0</v>
      </c>
      <c r="CI114" s="82">
        <f>IF($B114=DA$20,'OBC Cost _Van Oord 2022'!$E$30,0)</f>
        <v>0</v>
      </c>
      <c r="CJ114" s="38">
        <f t="shared" si="140"/>
        <v>0</v>
      </c>
      <c r="CK114" s="38"/>
      <c r="CL114" s="38"/>
      <c r="CM114" s="38"/>
      <c r="CN114" s="38"/>
      <c r="CO114" s="38"/>
      <c r="CP114" s="38"/>
      <c r="CQ114" s="38"/>
      <c r="CR114" s="38"/>
      <c r="CS114" s="38"/>
      <c r="CT114" s="38"/>
      <c r="CU114" s="38"/>
      <c r="CV114" s="38"/>
      <c r="CW114" s="38"/>
      <c r="CX114" s="38"/>
      <c r="CY114" s="38"/>
      <c r="CZ114" s="38"/>
      <c r="DA114" s="38"/>
      <c r="DB114" s="45">
        <f t="shared" si="147"/>
        <v>0</v>
      </c>
      <c r="DC114" s="45"/>
      <c r="DD114" s="46">
        <f t="shared" si="117"/>
        <v>0</v>
      </c>
      <c r="DE114" s="41">
        <f t="shared" si="144"/>
        <v>0</v>
      </c>
      <c r="DF114" s="41">
        <f t="shared" si="131"/>
        <v>0</v>
      </c>
      <c r="DG114" s="47"/>
      <c r="DH114" s="47"/>
      <c r="DI114" s="47"/>
      <c r="DJ114" s="47"/>
      <c r="DK114" s="47"/>
      <c r="DL114" s="47"/>
      <c r="DM114" s="47"/>
      <c r="DN114" s="47"/>
      <c r="DO114" s="47"/>
      <c r="DP114" s="47"/>
      <c r="DQ114" s="47"/>
      <c r="DR114" s="47"/>
      <c r="DS114" s="47"/>
      <c r="DT114" s="47"/>
      <c r="DU114" s="47"/>
      <c r="DV114" s="47"/>
      <c r="DW114" s="47"/>
      <c r="DX114" s="47">
        <f t="shared" si="145"/>
        <v>0</v>
      </c>
      <c r="DY114" s="92">
        <f t="shared" si="118"/>
        <v>0</v>
      </c>
    </row>
    <row r="115" spans="2:129" s="3" customFormat="1" ht="12.75" x14ac:dyDescent="0.2">
      <c r="B115" s="12">
        <f t="shared" si="132"/>
        <v>90</v>
      </c>
      <c r="C115" s="13">
        <f t="shared" si="148"/>
        <v>6.5051364944066992E-2</v>
      </c>
      <c r="D115" s="82">
        <f>IF($B115=F$20,'Construction Costs_2022'!$K$22+'Construction Costs_2022'!$K$7,0)</f>
        <v>0</v>
      </c>
      <c r="E115" s="38">
        <f t="shared" si="133"/>
        <v>28800</v>
      </c>
      <c r="F115" s="38"/>
      <c r="G115" s="45"/>
      <c r="H115" s="46">
        <f t="shared" si="108"/>
        <v>28800</v>
      </c>
      <c r="I115" s="41">
        <f t="shared" si="122"/>
        <v>0</v>
      </c>
      <c r="J115" s="41">
        <f t="shared" si="122"/>
        <v>1873.4793103891293</v>
      </c>
      <c r="K115" s="47">
        <f t="shared" si="122"/>
        <v>0</v>
      </c>
      <c r="L115" s="47">
        <f t="shared" si="122"/>
        <v>0</v>
      </c>
      <c r="M115" s="92">
        <f t="shared" si="134"/>
        <v>1873.4793103891293</v>
      </c>
      <c r="N115" s="91">
        <f>IF($B115=P$20,'Construction Costs_2022'!$K$43+'Construction Costs_2022'!$K$7,0)</f>
        <v>0</v>
      </c>
      <c r="O115" s="38">
        <f t="shared" si="135"/>
        <v>43200</v>
      </c>
      <c r="P115" s="38"/>
      <c r="Q115" s="45"/>
      <c r="R115" s="46">
        <f t="shared" si="110"/>
        <v>43200</v>
      </c>
      <c r="S115" s="41">
        <f t="shared" si="150"/>
        <v>0</v>
      </c>
      <c r="T115" s="41">
        <f t="shared" si="150"/>
        <v>2810.2189655836942</v>
      </c>
      <c r="U115" s="47">
        <f t="shared" si="149"/>
        <v>0</v>
      </c>
      <c r="V115" s="47">
        <f t="shared" si="151"/>
        <v>0</v>
      </c>
      <c r="W115" s="92">
        <f t="shared" si="136"/>
        <v>2810.2189655836942</v>
      </c>
      <c r="X115" s="82">
        <f>IF($B115=AP$20,'OBC Cost _Van Oord 2022'!$E$30,0)</f>
        <v>0</v>
      </c>
      <c r="Y115" s="38">
        <f t="shared" si="137"/>
        <v>0</v>
      </c>
      <c r="Z115" s="38"/>
      <c r="AA115" s="38"/>
      <c r="AB115" s="38"/>
      <c r="AC115" s="38"/>
      <c r="AD115" s="38"/>
      <c r="AE115" s="38"/>
      <c r="AF115" s="38"/>
      <c r="AG115" s="38"/>
      <c r="AH115" s="38"/>
      <c r="AI115" s="38"/>
      <c r="AJ115" s="38"/>
      <c r="AK115" s="38"/>
      <c r="AL115" s="38"/>
      <c r="AM115" s="38"/>
      <c r="AN115" s="38"/>
      <c r="AO115" s="38"/>
      <c r="AP115" s="38"/>
      <c r="AQ115" s="45">
        <f t="shared" si="146"/>
        <v>0</v>
      </c>
      <c r="AR115" s="45"/>
      <c r="AS115" s="46">
        <f t="shared" si="123"/>
        <v>0</v>
      </c>
      <c r="AT115" s="41">
        <f t="shared" si="124"/>
        <v>0</v>
      </c>
      <c r="AU115" s="41">
        <f t="shared" si="125"/>
        <v>0</v>
      </c>
      <c r="AV115" s="47"/>
      <c r="AW115" s="47"/>
      <c r="AX115" s="47"/>
      <c r="AY115" s="47"/>
      <c r="AZ115" s="47"/>
      <c r="BA115" s="47"/>
      <c r="BB115" s="47"/>
      <c r="BC115" s="47"/>
      <c r="BD115" s="47"/>
      <c r="BE115" s="47"/>
      <c r="BF115" s="47"/>
      <c r="BG115" s="47"/>
      <c r="BH115" s="47"/>
      <c r="BI115" s="47"/>
      <c r="BJ115" s="47"/>
      <c r="BK115" s="47"/>
      <c r="BL115" s="47"/>
      <c r="BM115" s="47">
        <f t="shared" si="141"/>
        <v>0</v>
      </c>
      <c r="BN115" s="92">
        <f t="shared" si="126"/>
        <v>0</v>
      </c>
      <c r="BO115" s="82">
        <f>IF($B115=BQ$20,'Construction Costs_2022'!$K$84+'Construction Costs_2022'!$K$7,0)</f>
        <v>0</v>
      </c>
      <c r="BP115" s="38">
        <f t="shared" si="127"/>
        <v>0</v>
      </c>
      <c r="BQ115" s="38"/>
      <c r="BR115" s="45"/>
      <c r="BS115" s="46">
        <f t="shared" si="142"/>
        <v>0</v>
      </c>
      <c r="BT115" s="41">
        <f t="shared" si="128"/>
        <v>0</v>
      </c>
      <c r="BU115" s="41">
        <f t="shared" si="128"/>
        <v>0</v>
      </c>
      <c r="BV115" s="47">
        <f t="shared" si="128"/>
        <v>0</v>
      </c>
      <c r="BW115" s="47">
        <f t="shared" si="120"/>
        <v>0</v>
      </c>
      <c r="BX115" s="92">
        <f t="shared" si="138"/>
        <v>0</v>
      </c>
      <c r="BY115" s="82">
        <f>IF($B115=CA$20,'Construction Costs_2022'!$K$104+'Construction Costs_2022'!$K$7,0)</f>
        <v>0</v>
      </c>
      <c r="BZ115" s="38">
        <f t="shared" si="129"/>
        <v>0</v>
      </c>
      <c r="CA115" s="38"/>
      <c r="CB115" s="45"/>
      <c r="CC115" s="46">
        <f t="shared" si="143"/>
        <v>0</v>
      </c>
      <c r="CD115" s="41">
        <f t="shared" si="130"/>
        <v>0</v>
      </c>
      <c r="CE115" s="41">
        <f t="shared" si="130"/>
        <v>0</v>
      </c>
      <c r="CF115" s="47">
        <f t="shared" si="130"/>
        <v>0</v>
      </c>
      <c r="CG115" s="47">
        <f t="shared" si="121"/>
        <v>0</v>
      </c>
      <c r="CH115" s="92">
        <f t="shared" si="139"/>
        <v>0</v>
      </c>
      <c r="CI115" s="82">
        <f>IF($B115=DA$20,'OBC Cost _Van Oord 2022'!$E$30,0)</f>
        <v>0</v>
      </c>
      <c r="CJ115" s="38">
        <f t="shared" si="140"/>
        <v>0</v>
      </c>
      <c r="CK115" s="38"/>
      <c r="CL115" s="38"/>
      <c r="CM115" s="38"/>
      <c r="CN115" s="38"/>
      <c r="CO115" s="38"/>
      <c r="CP115" s="38"/>
      <c r="CQ115" s="38"/>
      <c r="CR115" s="38"/>
      <c r="CS115" s="38"/>
      <c r="CT115" s="38"/>
      <c r="CU115" s="38"/>
      <c r="CV115" s="38"/>
      <c r="CW115" s="38"/>
      <c r="CX115" s="38"/>
      <c r="CY115" s="38"/>
      <c r="CZ115" s="38"/>
      <c r="DA115" s="38"/>
      <c r="DB115" s="45">
        <f t="shared" si="147"/>
        <v>0</v>
      </c>
      <c r="DC115" s="45"/>
      <c r="DD115" s="46">
        <f t="shared" si="117"/>
        <v>0</v>
      </c>
      <c r="DE115" s="41">
        <f t="shared" si="144"/>
        <v>0</v>
      </c>
      <c r="DF115" s="41">
        <f t="shared" si="131"/>
        <v>0</v>
      </c>
      <c r="DG115" s="47"/>
      <c r="DH115" s="47"/>
      <c r="DI115" s="47"/>
      <c r="DJ115" s="47"/>
      <c r="DK115" s="47"/>
      <c r="DL115" s="47"/>
      <c r="DM115" s="47"/>
      <c r="DN115" s="47"/>
      <c r="DO115" s="47"/>
      <c r="DP115" s="47"/>
      <c r="DQ115" s="47"/>
      <c r="DR115" s="47"/>
      <c r="DS115" s="47"/>
      <c r="DT115" s="47"/>
      <c r="DU115" s="47"/>
      <c r="DV115" s="47"/>
      <c r="DW115" s="47"/>
      <c r="DX115" s="47">
        <f t="shared" si="145"/>
        <v>0</v>
      </c>
      <c r="DY115" s="92">
        <f t="shared" si="118"/>
        <v>0</v>
      </c>
    </row>
    <row r="116" spans="2:129" s="3" customFormat="1" ht="12.75" x14ac:dyDescent="0.2">
      <c r="B116" s="12">
        <f t="shared" si="132"/>
        <v>91</v>
      </c>
      <c r="C116" s="13">
        <f t="shared" si="148"/>
        <v>6.3464746286894635E-2</v>
      </c>
      <c r="D116" s="82">
        <f>IF($B116=F$20,'Construction Costs_2022'!$K$22+'Construction Costs_2022'!$K$7,0)</f>
        <v>0</v>
      </c>
      <c r="E116" s="38">
        <f t="shared" si="133"/>
        <v>28800</v>
      </c>
      <c r="F116" s="38"/>
      <c r="G116" s="45"/>
      <c r="H116" s="46">
        <f t="shared" si="108"/>
        <v>28800</v>
      </c>
      <c r="I116" s="41">
        <f t="shared" si="122"/>
        <v>0</v>
      </c>
      <c r="J116" s="41">
        <f t="shared" si="122"/>
        <v>1827.7846930625656</v>
      </c>
      <c r="K116" s="47">
        <f t="shared" si="122"/>
        <v>0</v>
      </c>
      <c r="L116" s="47">
        <f t="shared" si="122"/>
        <v>0</v>
      </c>
      <c r="M116" s="92">
        <f t="shared" si="134"/>
        <v>1827.7846930625656</v>
      </c>
      <c r="N116" s="91">
        <f>IF($B116=P$20,'Construction Costs_2022'!$K$43+'Construction Costs_2022'!$K$7,0)</f>
        <v>0</v>
      </c>
      <c r="O116" s="38">
        <f t="shared" si="135"/>
        <v>43200</v>
      </c>
      <c r="P116" s="38"/>
      <c r="Q116" s="45"/>
      <c r="R116" s="46">
        <f t="shared" si="110"/>
        <v>43200</v>
      </c>
      <c r="S116" s="41">
        <f t="shared" si="150"/>
        <v>0</v>
      </c>
      <c r="T116" s="41">
        <f t="shared" si="150"/>
        <v>2741.6770395938483</v>
      </c>
      <c r="U116" s="47">
        <f t="shared" si="149"/>
        <v>0</v>
      </c>
      <c r="V116" s="47">
        <f t="shared" si="151"/>
        <v>0</v>
      </c>
      <c r="W116" s="92">
        <f t="shared" si="136"/>
        <v>2741.6770395938483</v>
      </c>
      <c r="X116" s="82">
        <f>IF($B116=AP$20,'OBC Cost _Van Oord 2022'!$E$30,0)</f>
        <v>0</v>
      </c>
      <c r="Y116" s="38">
        <f t="shared" si="137"/>
        <v>0</v>
      </c>
      <c r="Z116" s="38"/>
      <c r="AA116" s="38"/>
      <c r="AB116" s="38"/>
      <c r="AC116" s="38"/>
      <c r="AD116" s="38"/>
      <c r="AE116" s="38"/>
      <c r="AF116" s="38"/>
      <c r="AG116" s="38"/>
      <c r="AH116" s="38"/>
      <c r="AI116" s="38"/>
      <c r="AJ116" s="38"/>
      <c r="AK116" s="38"/>
      <c r="AL116" s="38"/>
      <c r="AM116" s="38"/>
      <c r="AN116" s="38"/>
      <c r="AO116" s="38"/>
      <c r="AP116" s="38"/>
      <c r="AQ116" s="45">
        <f t="shared" si="146"/>
        <v>0</v>
      </c>
      <c r="AR116" s="45"/>
      <c r="AS116" s="46">
        <f t="shared" si="123"/>
        <v>0</v>
      </c>
      <c r="AT116" s="41">
        <f t="shared" si="124"/>
        <v>0</v>
      </c>
      <c r="AU116" s="41">
        <f t="shared" si="125"/>
        <v>0</v>
      </c>
      <c r="AV116" s="47"/>
      <c r="AW116" s="47"/>
      <c r="AX116" s="47"/>
      <c r="AY116" s="47"/>
      <c r="AZ116" s="47"/>
      <c r="BA116" s="47"/>
      <c r="BB116" s="47"/>
      <c r="BC116" s="47"/>
      <c r="BD116" s="47"/>
      <c r="BE116" s="47"/>
      <c r="BF116" s="47"/>
      <c r="BG116" s="47"/>
      <c r="BH116" s="47"/>
      <c r="BI116" s="47"/>
      <c r="BJ116" s="47"/>
      <c r="BK116" s="47"/>
      <c r="BL116" s="47"/>
      <c r="BM116" s="47">
        <f t="shared" si="141"/>
        <v>0</v>
      </c>
      <c r="BN116" s="92">
        <f t="shared" si="126"/>
        <v>0</v>
      </c>
      <c r="BO116" s="82">
        <f>IF($B116=BQ$20,'Construction Costs_2022'!$K$84+'Construction Costs_2022'!$K$7,0)</f>
        <v>0</v>
      </c>
      <c r="BP116" s="38">
        <f t="shared" si="127"/>
        <v>0</v>
      </c>
      <c r="BQ116" s="38"/>
      <c r="BR116" s="45"/>
      <c r="BS116" s="46">
        <f t="shared" si="142"/>
        <v>0</v>
      </c>
      <c r="BT116" s="41">
        <f t="shared" si="128"/>
        <v>0</v>
      </c>
      <c r="BU116" s="41">
        <f t="shared" si="128"/>
        <v>0</v>
      </c>
      <c r="BV116" s="47">
        <f t="shared" si="128"/>
        <v>0</v>
      </c>
      <c r="BW116" s="47">
        <f t="shared" si="120"/>
        <v>0</v>
      </c>
      <c r="BX116" s="92">
        <f t="shared" si="138"/>
        <v>0</v>
      </c>
      <c r="BY116" s="82">
        <f>IF($B116=CA$20,'Construction Costs_2022'!$K$104+'Construction Costs_2022'!$K$7,0)</f>
        <v>0</v>
      </c>
      <c r="BZ116" s="38">
        <f t="shared" si="129"/>
        <v>0</v>
      </c>
      <c r="CA116" s="38"/>
      <c r="CB116" s="45"/>
      <c r="CC116" s="46">
        <f t="shared" si="143"/>
        <v>0</v>
      </c>
      <c r="CD116" s="41">
        <f t="shared" si="130"/>
        <v>0</v>
      </c>
      <c r="CE116" s="41">
        <f t="shared" si="130"/>
        <v>0</v>
      </c>
      <c r="CF116" s="47">
        <f t="shared" si="130"/>
        <v>0</v>
      </c>
      <c r="CG116" s="47">
        <f t="shared" si="121"/>
        <v>0</v>
      </c>
      <c r="CH116" s="92">
        <f t="shared" si="139"/>
        <v>0</v>
      </c>
      <c r="CI116" s="82">
        <f>IF($B116=DA$20,'OBC Cost _Van Oord 2022'!$E$30,0)</f>
        <v>0</v>
      </c>
      <c r="CJ116" s="38">
        <f t="shared" si="140"/>
        <v>0</v>
      </c>
      <c r="CK116" s="38"/>
      <c r="CL116" s="38"/>
      <c r="CM116" s="38"/>
      <c r="CN116" s="38"/>
      <c r="CO116" s="38"/>
      <c r="CP116" s="38"/>
      <c r="CQ116" s="38"/>
      <c r="CR116" s="38"/>
      <c r="CS116" s="38"/>
      <c r="CT116" s="38"/>
      <c r="CU116" s="38"/>
      <c r="CV116" s="38"/>
      <c r="CW116" s="38"/>
      <c r="CX116" s="38"/>
      <c r="CY116" s="38"/>
      <c r="CZ116" s="38"/>
      <c r="DA116" s="38"/>
      <c r="DB116" s="45">
        <f t="shared" si="147"/>
        <v>0</v>
      </c>
      <c r="DC116" s="45"/>
      <c r="DD116" s="46">
        <f t="shared" si="117"/>
        <v>0</v>
      </c>
      <c r="DE116" s="41">
        <f t="shared" si="144"/>
        <v>0</v>
      </c>
      <c r="DF116" s="41">
        <f t="shared" si="131"/>
        <v>0</v>
      </c>
      <c r="DG116" s="47"/>
      <c r="DH116" s="47"/>
      <c r="DI116" s="47"/>
      <c r="DJ116" s="47"/>
      <c r="DK116" s="47"/>
      <c r="DL116" s="47"/>
      <c r="DM116" s="47"/>
      <c r="DN116" s="47"/>
      <c r="DO116" s="47"/>
      <c r="DP116" s="47"/>
      <c r="DQ116" s="47"/>
      <c r="DR116" s="47"/>
      <c r="DS116" s="47"/>
      <c r="DT116" s="47"/>
      <c r="DU116" s="47"/>
      <c r="DV116" s="47"/>
      <c r="DW116" s="47"/>
      <c r="DX116" s="47">
        <f t="shared" si="145"/>
        <v>0</v>
      </c>
      <c r="DY116" s="92">
        <f t="shared" si="118"/>
        <v>0</v>
      </c>
    </row>
    <row r="117" spans="2:129" s="3" customFormat="1" ht="12.75" x14ac:dyDescent="0.2">
      <c r="B117" s="12">
        <f t="shared" si="132"/>
        <v>92</v>
      </c>
      <c r="C117" s="13">
        <f t="shared" si="148"/>
        <v>6.1916825645750871E-2</v>
      </c>
      <c r="D117" s="82">
        <f>IF($B117=F$20,'Construction Costs_2022'!$K$22+'Construction Costs_2022'!$K$7,0)</f>
        <v>0</v>
      </c>
      <c r="E117" s="38">
        <f t="shared" si="133"/>
        <v>1401900</v>
      </c>
      <c r="F117" s="38"/>
      <c r="G117" s="45"/>
      <c r="H117" s="46">
        <f t="shared" si="108"/>
        <v>1401900</v>
      </c>
      <c r="I117" s="41">
        <f t="shared" si="122"/>
        <v>0</v>
      </c>
      <c r="J117" s="41">
        <f>E117*$C117</f>
        <v>86801.197872778153</v>
      </c>
      <c r="K117" s="47">
        <f t="shared" si="122"/>
        <v>0</v>
      </c>
      <c r="L117" s="47">
        <f t="shared" si="122"/>
        <v>0</v>
      </c>
      <c r="M117" s="92">
        <f t="shared" si="134"/>
        <v>86801.197872778153</v>
      </c>
      <c r="N117" s="91">
        <f>IF($B117=P$20,'Construction Costs_2022'!$K$43+'Construction Costs_2022'!$K$7,0)</f>
        <v>0</v>
      </c>
      <c r="O117" s="38">
        <f t="shared" si="135"/>
        <v>1307840</v>
      </c>
      <c r="P117" s="38"/>
      <c r="Q117" s="45"/>
      <c r="R117" s="46">
        <f t="shared" si="110"/>
        <v>1307840</v>
      </c>
      <c r="S117" s="41">
        <f t="shared" si="150"/>
        <v>0</v>
      </c>
      <c r="T117" s="41">
        <f t="shared" si="150"/>
        <v>80977.301252538819</v>
      </c>
      <c r="U117" s="47">
        <f t="shared" si="149"/>
        <v>0</v>
      </c>
      <c r="V117" s="47">
        <f t="shared" si="151"/>
        <v>0</v>
      </c>
      <c r="W117" s="92">
        <f t="shared" si="136"/>
        <v>80977.301252538819</v>
      </c>
      <c r="X117" s="82">
        <f>IF($B117=AP$20,'OBC Cost _Van Oord 2022'!$E$30,0)</f>
        <v>0</v>
      </c>
      <c r="Y117" s="38">
        <f t="shared" si="137"/>
        <v>1019280</v>
      </c>
      <c r="Z117" s="38"/>
      <c r="AA117" s="38"/>
      <c r="AB117" s="38"/>
      <c r="AC117" s="38"/>
      <c r="AD117" s="38"/>
      <c r="AE117" s="38"/>
      <c r="AF117" s="38"/>
      <c r="AG117" s="38"/>
      <c r="AH117" s="38"/>
      <c r="AI117" s="38"/>
      <c r="AJ117" s="38"/>
      <c r="AK117" s="38"/>
      <c r="AL117" s="38"/>
      <c r="AM117" s="38"/>
      <c r="AN117" s="38"/>
      <c r="AO117" s="38"/>
      <c r="AP117" s="38"/>
      <c r="AQ117" s="45">
        <f t="shared" si="146"/>
        <v>265012.8</v>
      </c>
      <c r="AR117" s="45"/>
      <c r="AS117" s="46">
        <f t="shared" si="123"/>
        <v>1284292.8</v>
      </c>
      <c r="AT117" s="41">
        <f t="shared" si="124"/>
        <v>0</v>
      </c>
      <c r="AU117" s="41">
        <f t="shared" si="125"/>
        <v>63110.58204420095</v>
      </c>
      <c r="AV117" s="47"/>
      <c r="AW117" s="47"/>
      <c r="AX117" s="47"/>
      <c r="AY117" s="47"/>
      <c r="AZ117" s="47"/>
      <c r="BA117" s="47"/>
      <c r="BB117" s="47"/>
      <c r="BC117" s="47"/>
      <c r="BD117" s="47"/>
      <c r="BE117" s="47"/>
      <c r="BF117" s="47"/>
      <c r="BG117" s="47"/>
      <c r="BH117" s="47"/>
      <c r="BI117" s="47"/>
      <c r="BJ117" s="47"/>
      <c r="BK117" s="47"/>
      <c r="BL117" s="47"/>
      <c r="BM117" s="47">
        <f t="shared" si="141"/>
        <v>16408.751331492247</v>
      </c>
      <c r="BN117" s="92">
        <f t="shared" si="126"/>
        <v>79519.333375693197</v>
      </c>
      <c r="BO117" s="82">
        <f>IF($B117=BQ$20,'Construction Costs_2022'!$K$84+'Construction Costs_2022'!$K$7,0)</f>
        <v>0</v>
      </c>
      <c r="BP117" s="38">
        <f t="shared" si="127"/>
        <v>975260</v>
      </c>
      <c r="BQ117" s="38"/>
      <c r="BR117" s="45"/>
      <c r="BS117" s="46">
        <f t="shared" si="142"/>
        <v>975260</v>
      </c>
      <c r="BT117" s="41">
        <f t="shared" si="128"/>
        <v>0</v>
      </c>
      <c r="BU117" s="41">
        <f t="shared" si="128"/>
        <v>60385.003379274996</v>
      </c>
      <c r="BV117" s="47">
        <f t="shared" si="128"/>
        <v>0</v>
      </c>
      <c r="BW117" s="47">
        <f t="shared" si="120"/>
        <v>0</v>
      </c>
      <c r="BX117" s="92">
        <f t="shared" si="138"/>
        <v>60385.003379274996</v>
      </c>
      <c r="BY117" s="82">
        <f>IF($B117=CA$20,'Construction Costs_2022'!$K$104+'Construction Costs_2022'!$K$7,0)</f>
        <v>0</v>
      </c>
      <c r="BZ117" s="38">
        <f t="shared" si="129"/>
        <v>1104320</v>
      </c>
      <c r="CA117" s="38"/>
      <c r="CB117" s="45"/>
      <c r="CC117" s="46">
        <f t="shared" si="143"/>
        <v>1104320</v>
      </c>
      <c r="CD117" s="41">
        <f t="shared" si="130"/>
        <v>0</v>
      </c>
      <c r="CE117" s="41">
        <f t="shared" si="130"/>
        <v>68375.988897115603</v>
      </c>
      <c r="CF117" s="47">
        <f t="shared" si="130"/>
        <v>0</v>
      </c>
      <c r="CG117" s="47">
        <f t="shared" si="121"/>
        <v>0</v>
      </c>
      <c r="CH117" s="92">
        <f t="shared" si="139"/>
        <v>68375.988897115603</v>
      </c>
      <c r="CI117" s="82">
        <f>IF($B117=DA$20,'OBC Cost _Van Oord 2022'!$E$30,0)</f>
        <v>0</v>
      </c>
      <c r="CJ117" s="38">
        <f t="shared" si="140"/>
        <v>301530</v>
      </c>
      <c r="CK117" s="38"/>
      <c r="CL117" s="38"/>
      <c r="CM117" s="38"/>
      <c r="CN117" s="38"/>
      <c r="CO117" s="38"/>
      <c r="CP117" s="38"/>
      <c r="CQ117" s="38"/>
      <c r="CR117" s="38"/>
      <c r="CS117" s="38"/>
      <c r="CT117" s="38"/>
      <c r="CU117" s="38"/>
      <c r="CV117" s="38"/>
      <c r="CW117" s="38"/>
      <c r="CX117" s="38"/>
      <c r="CY117" s="38"/>
      <c r="CZ117" s="38"/>
      <c r="DA117" s="38"/>
      <c r="DB117" s="45">
        <f t="shared" si="147"/>
        <v>90459</v>
      </c>
      <c r="DC117" s="45"/>
      <c r="DD117" s="46">
        <f t="shared" si="117"/>
        <v>391989</v>
      </c>
      <c r="DE117" s="41">
        <f t="shared" si="144"/>
        <v>0</v>
      </c>
      <c r="DF117" s="41">
        <f t="shared" si="131"/>
        <v>18669.780436963261</v>
      </c>
      <c r="DG117" s="47"/>
      <c r="DH117" s="47"/>
      <c r="DI117" s="47"/>
      <c r="DJ117" s="47"/>
      <c r="DK117" s="47"/>
      <c r="DL117" s="47"/>
      <c r="DM117" s="47"/>
      <c r="DN117" s="47"/>
      <c r="DO117" s="47"/>
      <c r="DP117" s="47"/>
      <c r="DQ117" s="47"/>
      <c r="DR117" s="47"/>
      <c r="DS117" s="47"/>
      <c r="DT117" s="47"/>
      <c r="DU117" s="47"/>
      <c r="DV117" s="47"/>
      <c r="DW117" s="47"/>
      <c r="DX117" s="47">
        <f t="shared" si="145"/>
        <v>5600.9341310889777</v>
      </c>
      <c r="DY117" s="92">
        <f t="shared" si="118"/>
        <v>24270.714568052237</v>
      </c>
    </row>
    <row r="118" spans="2:129" s="3" customFormat="1" ht="12.75" x14ac:dyDescent="0.2">
      <c r="B118" s="12">
        <f t="shared" si="132"/>
        <v>93</v>
      </c>
      <c r="C118" s="13">
        <f t="shared" si="148"/>
        <v>6.0406659166586218E-2</v>
      </c>
      <c r="D118" s="82">
        <f>IF($B118=F$20,'Construction Costs_2022'!$K$22+'Construction Costs_2022'!$K$7,0)</f>
        <v>0</v>
      </c>
      <c r="E118" s="38">
        <f t="shared" si="133"/>
        <v>28800</v>
      </c>
      <c r="F118" s="38"/>
      <c r="G118" s="45"/>
      <c r="H118" s="46">
        <f t="shared" si="108"/>
        <v>28800</v>
      </c>
      <c r="I118" s="41">
        <f t="shared" si="122"/>
        <v>0</v>
      </c>
      <c r="J118" s="41">
        <f t="shared" si="122"/>
        <v>1739.7117839976831</v>
      </c>
      <c r="K118" s="47">
        <f t="shared" si="122"/>
        <v>0</v>
      </c>
      <c r="L118" s="47">
        <f t="shared" si="122"/>
        <v>0</v>
      </c>
      <c r="M118" s="92">
        <f t="shared" si="134"/>
        <v>1739.7117839976831</v>
      </c>
      <c r="N118" s="91">
        <f>IF($B118=P$20,'Construction Costs_2022'!$K$43+'Construction Costs_2022'!$K$7,0)</f>
        <v>0</v>
      </c>
      <c r="O118" s="38">
        <f t="shared" si="135"/>
        <v>43200</v>
      </c>
      <c r="P118" s="38"/>
      <c r="Q118" s="45"/>
      <c r="R118" s="46">
        <f t="shared" si="110"/>
        <v>43200</v>
      </c>
      <c r="S118" s="41">
        <f t="shared" si="150"/>
        <v>0</v>
      </c>
      <c r="T118" s="41">
        <f t="shared" si="150"/>
        <v>2609.5676759965245</v>
      </c>
      <c r="U118" s="47">
        <f t="shared" si="149"/>
        <v>0</v>
      </c>
      <c r="V118" s="47">
        <f t="shared" si="151"/>
        <v>0</v>
      </c>
      <c r="W118" s="92">
        <f t="shared" si="136"/>
        <v>2609.5676759965245</v>
      </c>
      <c r="X118" s="82">
        <f>IF($B118=AP$20,'OBC Cost _Van Oord 2022'!$E$30,0)</f>
        <v>0</v>
      </c>
      <c r="Y118" s="38">
        <f t="shared" si="137"/>
        <v>0</v>
      </c>
      <c r="Z118" s="38"/>
      <c r="AA118" s="38"/>
      <c r="AB118" s="38"/>
      <c r="AC118" s="38"/>
      <c r="AD118" s="38"/>
      <c r="AE118" s="38"/>
      <c r="AF118" s="38"/>
      <c r="AG118" s="38"/>
      <c r="AH118" s="38"/>
      <c r="AI118" s="38"/>
      <c r="AJ118" s="38"/>
      <c r="AK118" s="38"/>
      <c r="AL118" s="38"/>
      <c r="AM118" s="38"/>
      <c r="AN118" s="38"/>
      <c r="AO118" s="38"/>
      <c r="AP118" s="38"/>
      <c r="AQ118" s="45">
        <f t="shared" si="146"/>
        <v>0</v>
      </c>
      <c r="AR118" s="45"/>
      <c r="AS118" s="46">
        <f t="shared" si="123"/>
        <v>0</v>
      </c>
      <c r="AT118" s="41">
        <f t="shared" si="124"/>
        <v>0</v>
      </c>
      <c r="AU118" s="41">
        <f t="shared" si="125"/>
        <v>0</v>
      </c>
      <c r="AV118" s="47"/>
      <c r="AW118" s="47"/>
      <c r="AX118" s="47"/>
      <c r="AY118" s="47"/>
      <c r="AZ118" s="47"/>
      <c r="BA118" s="47"/>
      <c r="BB118" s="47"/>
      <c r="BC118" s="47"/>
      <c r="BD118" s="47"/>
      <c r="BE118" s="47"/>
      <c r="BF118" s="47"/>
      <c r="BG118" s="47"/>
      <c r="BH118" s="47"/>
      <c r="BI118" s="47"/>
      <c r="BJ118" s="47"/>
      <c r="BK118" s="47"/>
      <c r="BL118" s="47"/>
      <c r="BM118" s="47">
        <f t="shared" si="141"/>
        <v>0</v>
      </c>
      <c r="BN118" s="92">
        <f t="shared" si="126"/>
        <v>0</v>
      </c>
      <c r="BO118" s="82">
        <f>IF($B118=BQ$20,'Construction Costs_2022'!$K$84+'Construction Costs_2022'!$K$7,0)</f>
        <v>0</v>
      </c>
      <c r="BP118" s="38">
        <f t="shared" si="127"/>
        <v>0</v>
      </c>
      <c r="BQ118" s="38"/>
      <c r="BR118" s="45"/>
      <c r="BS118" s="46">
        <f t="shared" si="142"/>
        <v>0</v>
      </c>
      <c r="BT118" s="41">
        <f t="shared" si="128"/>
        <v>0</v>
      </c>
      <c r="BU118" s="41">
        <f t="shared" si="128"/>
        <v>0</v>
      </c>
      <c r="BV118" s="47">
        <f t="shared" si="128"/>
        <v>0</v>
      </c>
      <c r="BW118" s="47">
        <f t="shared" si="120"/>
        <v>0</v>
      </c>
      <c r="BX118" s="92">
        <f t="shared" si="138"/>
        <v>0</v>
      </c>
      <c r="BY118" s="82">
        <f>IF($B118=CA$20,'Construction Costs_2022'!$K$104+'Construction Costs_2022'!$K$7,0)</f>
        <v>0</v>
      </c>
      <c r="BZ118" s="38">
        <f t="shared" si="129"/>
        <v>0</v>
      </c>
      <c r="CA118" s="38"/>
      <c r="CB118" s="45"/>
      <c r="CC118" s="46">
        <f t="shared" si="143"/>
        <v>0</v>
      </c>
      <c r="CD118" s="41">
        <f t="shared" si="130"/>
        <v>0</v>
      </c>
      <c r="CE118" s="41">
        <f t="shared" si="130"/>
        <v>0</v>
      </c>
      <c r="CF118" s="47">
        <f t="shared" si="130"/>
        <v>0</v>
      </c>
      <c r="CG118" s="47">
        <f t="shared" si="121"/>
        <v>0</v>
      </c>
      <c r="CH118" s="92">
        <f t="shared" si="139"/>
        <v>0</v>
      </c>
      <c r="CI118" s="82">
        <f>IF($B118=DA$20,'OBC Cost _Van Oord 2022'!$E$30,0)</f>
        <v>0</v>
      </c>
      <c r="CJ118" s="38">
        <f t="shared" si="140"/>
        <v>0</v>
      </c>
      <c r="CK118" s="38"/>
      <c r="CL118" s="38"/>
      <c r="CM118" s="38"/>
      <c r="CN118" s="38"/>
      <c r="CO118" s="38"/>
      <c r="CP118" s="38"/>
      <c r="CQ118" s="38"/>
      <c r="CR118" s="38"/>
      <c r="CS118" s="38"/>
      <c r="CT118" s="38"/>
      <c r="CU118" s="38"/>
      <c r="CV118" s="38"/>
      <c r="CW118" s="38"/>
      <c r="CX118" s="38"/>
      <c r="CY118" s="38"/>
      <c r="CZ118" s="38"/>
      <c r="DA118" s="38"/>
      <c r="DB118" s="45">
        <f t="shared" si="147"/>
        <v>0</v>
      </c>
      <c r="DC118" s="45"/>
      <c r="DD118" s="46">
        <f t="shared" si="117"/>
        <v>0</v>
      </c>
      <c r="DE118" s="41">
        <f t="shared" si="144"/>
        <v>0</v>
      </c>
      <c r="DF118" s="41">
        <f t="shared" si="131"/>
        <v>0</v>
      </c>
      <c r="DG118" s="47"/>
      <c r="DH118" s="47"/>
      <c r="DI118" s="47"/>
      <c r="DJ118" s="47"/>
      <c r="DK118" s="47"/>
      <c r="DL118" s="47"/>
      <c r="DM118" s="47"/>
      <c r="DN118" s="47"/>
      <c r="DO118" s="47"/>
      <c r="DP118" s="47"/>
      <c r="DQ118" s="47"/>
      <c r="DR118" s="47"/>
      <c r="DS118" s="47"/>
      <c r="DT118" s="47"/>
      <c r="DU118" s="47"/>
      <c r="DV118" s="47"/>
      <c r="DW118" s="47"/>
      <c r="DX118" s="47">
        <f t="shared" si="145"/>
        <v>0</v>
      </c>
      <c r="DY118" s="92">
        <f t="shared" si="118"/>
        <v>0</v>
      </c>
    </row>
    <row r="119" spans="2:129" s="3" customFormat="1" ht="12.75" x14ac:dyDescent="0.2">
      <c r="B119" s="12">
        <f t="shared" si="132"/>
        <v>94</v>
      </c>
      <c r="C119" s="13">
        <f t="shared" si="148"/>
        <v>5.8933326016181682E-2</v>
      </c>
      <c r="D119" s="82">
        <f>IF($B119=F$20,'Construction Costs_2022'!$K$22+'Construction Costs_2022'!$K$7,0)</f>
        <v>0</v>
      </c>
      <c r="E119" s="38">
        <f t="shared" si="133"/>
        <v>28800</v>
      </c>
      <c r="F119" s="38"/>
      <c r="G119" s="45"/>
      <c r="H119" s="46">
        <f t="shared" si="108"/>
        <v>28800</v>
      </c>
      <c r="I119" s="41">
        <f t="shared" si="122"/>
        <v>0</v>
      </c>
      <c r="J119" s="41">
        <f t="shared" si="122"/>
        <v>1697.2797892660324</v>
      </c>
      <c r="K119" s="47">
        <f t="shared" si="122"/>
        <v>0</v>
      </c>
      <c r="L119" s="47">
        <f t="shared" si="122"/>
        <v>0</v>
      </c>
      <c r="M119" s="92">
        <f t="shared" si="134"/>
        <v>1697.2797892660324</v>
      </c>
      <c r="N119" s="91">
        <f>IF($B119=P$20,'Construction Costs_2022'!$K$43+'Construction Costs_2022'!$K$7,0)</f>
        <v>0</v>
      </c>
      <c r="O119" s="38">
        <f t="shared" si="135"/>
        <v>43200</v>
      </c>
      <c r="P119" s="38"/>
      <c r="Q119" s="45"/>
      <c r="R119" s="46">
        <f t="shared" si="110"/>
        <v>43200</v>
      </c>
      <c r="S119" s="41">
        <f t="shared" si="150"/>
        <v>0</v>
      </c>
      <c r="T119" s="41">
        <f t="shared" si="150"/>
        <v>2545.9196838990488</v>
      </c>
      <c r="U119" s="47">
        <f t="shared" si="149"/>
        <v>0</v>
      </c>
      <c r="V119" s="47">
        <f t="shared" si="151"/>
        <v>0</v>
      </c>
      <c r="W119" s="92">
        <f t="shared" si="136"/>
        <v>2545.9196838990488</v>
      </c>
      <c r="X119" s="82">
        <f>IF($B119=AP$20,'OBC Cost _Van Oord 2022'!$E$30,0)</f>
        <v>0</v>
      </c>
      <c r="Y119" s="38">
        <f t="shared" si="137"/>
        <v>0</v>
      </c>
      <c r="Z119" s="38"/>
      <c r="AA119" s="38"/>
      <c r="AB119" s="38"/>
      <c r="AC119" s="38"/>
      <c r="AD119" s="38"/>
      <c r="AE119" s="38"/>
      <c r="AF119" s="38"/>
      <c r="AG119" s="38"/>
      <c r="AH119" s="38"/>
      <c r="AI119" s="38"/>
      <c r="AJ119" s="38"/>
      <c r="AK119" s="38"/>
      <c r="AL119" s="38"/>
      <c r="AM119" s="38"/>
      <c r="AN119" s="38"/>
      <c r="AO119" s="38"/>
      <c r="AP119" s="38"/>
      <c r="AQ119" s="45">
        <f t="shared" si="146"/>
        <v>0</v>
      </c>
      <c r="AR119" s="45"/>
      <c r="AS119" s="46">
        <f t="shared" si="123"/>
        <v>0</v>
      </c>
      <c r="AT119" s="41">
        <f t="shared" si="124"/>
        <v>0</v>
      </c>
      <c r="AU119" s="41">
        <f t="shared" si="125"/>
        <v>0</v>
      </c>
      <c r="AV119" s="47"/>
      <c r="AW119" s="47"/>
      <c r="AX119" s="47"/>
      <c r="AY119" s="47"/>
      <c r="AZ119" s="47"/>
      <c r="BA119" s="47"/>
      <c r="BB119" s="47"/>
      <c r="BC119" s="47"/>
      <c r="BD119" s="47"/>
      <c r="BE119" s="47"/>
      <c r="BF119" s="47"/>
      <c r="BG119" s="47"/>
      <c r="BH119" s="47"/>
      <c r="BI119" s="47"/>
      <c r="BJ119" s="47"/>
      <c r="BK119" s="47"/>
      <c r="BL119" s="47"/>
      <c r="BM119" s="47">
        <f t="shared" si="141"/>
        <v>0</v>
      </c>
      <c r="BN119" s="92">
        <f t="shared" si="126"/>
        <v>0</v>
      </c>
      <c r="BO119" s="82">
        <f>IF($B119=BQ$20,'Construction Costs_2022'!$K$84+'Construction Costs_2022'!$K$7,0)</f>
        <v>0</v>
      </c>
      <c r="BP119" s="38">
        <f t="shared" si="127"/>
        <v>0</v>
      </c>
      <c r="BQ119" s="38"/>
      <c r="BR119" s="45"/>
      <c r="BS119" s="46">
        <f t="shared" si="142"/>
        <v>0</v>
      </c>
      <c r="BT119" s="41">
        <f t="shared" si="128"/>
        <v>0</v>
      </c>
      <c r="BU119" s="41">
        <f t="shared" si="128"/>
        <v>0</v>
      </c>
      <c r="BV119" s="47">
        <f t="shared" si="128"/>
        <v>0</v>
      </c>
      <c r="BW119" s="47">
        <f t="shared" si="120"/>
        <v>0</v>
      </c>
      <c r="BX119" s="92">
        <f t="shared" si="138"/>
        <v>0</v>
      </c>
      <c r="BY119" s="82">
        <f>IF($B119=CA$20,'Construction Costs_2022'!$K$104+'Construction Costs_2022'!$K$7,0)</f>
        <v>0</v>
      </c>
      <c r="BZ119" s="38">
        <f t="shared" si="129"/>
        <v>0</v>
      </c>
      <c r="CA119" s="38"/>
      <c r="CB119" s="45"/>
      <c r="CC119" s="46">
        <f t="shared" si="143"/>
        <v>0</v>
      </c>
      <c r="CD119" s="41">
        <f t="shared" si="130"/>
        <v>0</v>
      </c>
      <c r="CE119" s="41">
        <f t="shared" si="130"/>
        <v>0</v>
      </c>
      <c r="CF119" s="47">
        <f t="shared" si="130"/>
        <v>0</v>
      </c>
      <c r="CG119" s="47">
        <f t="shared" si="121"/>
        <v>0</v>
      </c>
      <c r="CH119" s="92">
        <f t="shared" si="139"/>
        <v>0</v>
      </c>
      <c r="CI119" s="82">
        <f>IF($B119=DA$20,'OBC Cost _Van Oord 2022'!$E$30,0)</f>
        <v>0</v>
      </c>
      <c r="CJ119" s="38">
        <f t="shared" si="140"/>
        <v>0</v>
      </c>
      <c r="CK119" s="38"/>
      <c r="CL119" s="38"/>
      <c r="CM119" s="38"/>
      <c r="CN119" s="38"/>
      <c r="CO119" s="38"/>
      <c r="CP119" s="38"/>
      <c r="CQ119" s="38"/>
      <c r="CR119" s="38"/>
      <c r="CS119" s="38"/>
      <c r="CT119" s="38"/>
      <c r="CU119" s="38"/>
      <c r="CV119" s="38"/>
      <c r="CW119" s="38"/>
      <c r="CX119" s="38"/>
      <c r="CY119" s="38"/>
      <c r="CZ119" s="38"/>
      <c r="DA119" s="38"/>
      <c r="DB119" s="45">
        <f t="shared" si="147"/>
        <v>0</v>
      </c>
      <c r="DC119" s="45"/>
      <c r="DD119" s="46">
        <f t="shared" si="117"/>
        <v>0</v>
      </c>
      <c r="DE119" s="41">
        <f t="shared" si="144"/>
        <v>0</v>
      </c>
      <c r="DF119" s="41">
        <f t="shared" si="131"/>
        <v>0</v>
      </c>
      <c r="DG119" s="47"/>
      <c r="DH119" s="47"/>
      <c r="DI119" s="47"/>
      <c r="DJ119" s="47"/>
      <c r="DK119" s="47"/>
      <c r="DL119" s="47"/>
      <c r="DM119" s="47"/>
      <c r="DN119" s="47"/>
      <c r="DO119" s="47"/>
      <c r="DP119" s="47"/>
      <c r="DQ119" s="47"/>
      <c r="DR119" s="47"/>
      <c r="DS119" s="47"/>
      <c r="DT119" s="47"/>
      <c r="DU119" s="47"/>
      <c r="DV119" s="47"/>
      <c r="DW119" s="47"/>
      <c r="DX119" s="47">
        <f t="shared" si="145"/>
        <v>0</v>
      </c>
      <c r="DY119" s="92">
        <f t="shared" si="118"/>
        <v>0</v>
      </c>
    </row>
    <row r="120" spans="2:129" s="3" customFormat="1" ht="12.75" x14ac:dyDescent="0.2">
      <c r="B120" s="12">
        <f t="shared" si="132"/>
        <v>95</v>
      </c>
      <c r="C120" s="13">
        <f t="shared" si="148"/>
        <v>5.7495927820665059E-2</v>
      </c>
      <c r="D120" s="82">
        <f>IF($B120=F$20,'Construction Costs_2022'!$K$22+'Construction Costs_2022'!$K$7,0)</f>
        <v>0</v>
      </c>
      <c r="E120" s="38">
        <f t="shared" si="133"/>
        <v>28800</v>
      </c>
      <c r="F120" s="38"/>
      <c r="G120" s="45"/>
      <c r="H120" s="46">
        <f t="shared" si="108"/>
        <v>28800</v>
      </c>
      <c r="I120" s="41">
        <f t="shared" si="122"/>
        <v>0</v>
      </c>
      <c r="J120" s="41">
        <f t="shared" si="122"/>
        <v>1655.8827212351537</v>
      </c>
      <c r="K120" s="47">
        <f t="shared" si="122"/>
        <v>0</v>
      </c>
      <c r="L120" s="47">
        <f t="shared" si="122"/>
        <v>0</v>
      </c>
      <c r="M120" s="92">
        <f t="shared" si="134"/>
        <v>1655.8827212351537</v>
      </c>
      <c r="N120" s="91">
        <f>IF($B120=P$20,'Construction Costs_2022'!$K$43+'Construction Costs_2022'!$K$7,0)</f>
        <v>0</v>
      </c>
      <c r="O120" s="38">
        <f t="shared" si="135"/>
        <v>43200</v>
      </c>
      <c r="P120" s="38"/>
      <c r="Q120" s="45"/>
      <c r="R120" s="46">
        <f t="shared" si="110"/>
        <v>43200</v>
      </c>
      <c r="S120" s="41">
        <f t="shared" si="150"/>
        <v>0</v>
      </c>
      <c r="T120" s="41">
        <f t="shared" si="150"/>
        <v>2483.8240818527306</v>
      </c>
      <c r="U120" s="47">
        <f t="shared" si="149"/>
        <v>0</v>
      </c>
      <c r="V120" s="47">
        <f t="shared" si="151"/>
        <v>0</v>
      </c>
      <c r="W120" s="92">
        <f t="shared" si="136"/>
        <v>2483.8240818527306</v>
      </c>
      <c r="X120" s="82">
        <f>IF($B120=AP$20,'OBC Cost _Van Oord 2022'!$E$30,0)</f>
        <v>0</v>
      </c>
      <c r="Y120" s="38">
        <f t="shared" si="137"/>
        <v>0</v>
      </c>
      <c r="Z120" s="38"/>
      <c r="AA120" s="38"/>
      <c r="AB120" s="38"/>
      <c r="AC120" s="38"/>
      <c r="AD120" s="38"/>
      <c r="AE120" s="38"/>
      <c r="AF120" s="38"/>
      <c r="AG120" s="38"/>
      <c r="AH120" s="38"/>
      <c r="AI120" s="38"/>
      <c r="AJ120" s="38"/>
      <c r="AK120" s="38"/>
      <c r="AL120" s="38"/>
      <c r="AM120" s="38"/>
      <c r="AN120" s="38"/>
      <c r="AO120" s="38"/>
      <c r="AP120" s="38"/>
      <c r="AQ120" s="45">
        <f t="shared" si="146"/>
        <v>0</v>
      </c>
      <c r="AR120" s="45"/>
      <c r="AS120" s="46">
        <f t="shared" si="123"/>
        <v>0</v>
      </c>
      <c r="AT120" s="41">
        <f t="shared" si="124"/>
        <v>0</v>
      </c>
      <c r="AU120" s="41">
        <f t="shared" si="125"/>
        <v>0</v>
      </c>
      <c r="AV120" s="47"/>
      <c r="AW120" s="47"/>
      <c r="AX120" s="47"/>
      <c r="AY120" s="47"/>
      <c r="AZ120" s="47"/>
      <c r="BA120" s="47"/>
      <c r="BB120" s="47"/>
      <c r="BC120" s="47"/>
      <c r="BD120" s="47"/>
      <c r="BE120" s="47"/>
      <c r="BF120" s="47"/>
      <c r="BG120" s="47"/>
      <c r="BH120" s="47"/>
      <c r="BI120" s="47"/>
      <c r="BJ120" s="47"/>
      <c r="BK120" s="47"/>
      <c r="BL120" s="47"/>
      <c r="BM120" s="47">
        <f t="shared" si="141"/>
        <v>0</v>
      </c>
      <c r="BN120" s="92">
        <f t="shared" si="126"/>
        <v>0</v>
      </c>
      <c r="BO120" s="82">
        <f>IF($B120=BQ$20,'Construction Costs_2022'!$K$84+'Construction Costs_2022'!$K$7,0)</f>
        <v>0</v>
      </c>
      <c r="BP120" s="38">
        <f t="shared" si="127"/>
        <v>0</v>
      </c>
      <c r="BQ120" s="38"/>
      <c r="BR120" s="45"/>
      <c r="BS120" s="46">
        <f t="shared" si="142"/>
        <v>0</v>
      </c>
      <c r="BT120" s="41">
        <f t="shared" si="128"/>
        <v>0</v>
      </c>
      <c r="BU120" s="41">
        <f t="shared" si="128"/>
        <v>0</v>
      </c>
      <c r="BV120" s="47">
        <f t="shared" si="128"/>
        <v>0</v>
      </c>
      <c r="BW120" s="47">
        <f t="shared" si="120"/>
        <v>0</v>
      </c>
      <c r="BX120" s="92">
        <f t="shared" si="138"/>
        <v>0</v>
      </c>
      <c r="BY120" s="82">
        <f>IF($B120=CA$20,'Construction Costs_2022'!$K$104+'Construction Costs_2022'!$K$7,0)</f>
        <v>0</v>
      </c>
      <c r="BZ120" s="38">
        <f t="shared" si="129"/>
        <v>0</v>
      </c>
      <c r="CA120" s="38"/>
      <c r="CB120" s="45"/>
      <c r="CC120" s="46">
        <f t="shared" si="143"/>
        <v>0</v>
      </c>
      <c r="CD120" s="41">
        <f t="shared" si="130"/>
        <v>0</v>
      </c>
      <c r="CE120" s="41">
        <f t="shared" si="130"/>
        <v>0</v>
      </c>
      <c r="CF120" s="47">
        <f t="shared" si="130"/>
        <v>0</v>
      </c>
      <c r="CG120" s="47">
        <f t="shared" si="121"/>
        <v>0</v>
      </c>
      <c r="CH120" s="92">
        <f t="shared" si="139"/>
        <v>0</v>
      </c>
      <c r="CI120" s="82">
        <f>IF($B120=DA$20,'OBC Cost _Van Oord 2022'!$E$30,0)</f>
        <v>0</v>
      </c>
      <c r="CJ120" s="38">
        <f t="shared" si="140"/>
        <v>0</v>
      </c>
      <c r="CK120" s="38"/>
      <c r="CL120" s="38"/>
      <c r="CM120" s="38"/>
      <c r="CN120" s="38"/>
      <c r="CO120" s="38"/>
      <c r="CP120" s="38"/>
      <c r="CQ120" s="38"/>
      <c r="CR120" s="38"/>
      <c r="CS120" s="38"/>
      <c r="CT120" s="38"/>
      <c r="CU120" s="38"/>
      <c r="CV120" s="38"/>
      <c r="CW120" s="38"/>
      <c r="CX120" s="38"/>
      <c r="CY120" s="38"/>
      <c r="CZ120" s="38"/>
      <c r="DA120" s="38"/>
      <c r="DB120" s="45">
        <f t="shared" si="147"/>
        <v>0</v>
      </c>
      <c r="DC120" s="45"/>
      <c r="DD120" s="46">
        <f t="shared" si="117"/>
        <v>0</v>
      </c>
      <c r="DE120" s="41">
        <f t="shared" si="144"/>
        <v>0</v>
      </c>
      <c r="DF120" s="41">
        <f t="shared" si="131"/>
        <v>0</v>
      </c>
      <c r="DG120" s="47"/>
      <c r="DH120" s="47"/>
      <c r="DI120" s="47"/>
      <c r="DJ120" s="47"/>
      <c r="DK120" s="47"/>
      <c r="DL120" s="47"/>
      <c r="DM120" s="47"/>
      <c r="DN120" s="47"/>
      <c r="DO120" s="47"/>
      <c r="DP120" s="47"/>
      <c r="DQ120" s="47"/>
      <c r="DR120" s="47"/>
      <c r="DS120" s="47"/>
      <c r="DT120" s="47"/>
      <c r="DU120" s="47"/>
      <c r="DV120" s="47"/>
      <c r="DW120" s="47"/>
      <c r="DX120" s="47">
        <f t="shared" si="145"/>
        <v>0</v>
      </c>
      <c r="DY120" s="92">
        <f t="shared" si="118"/>
        <v>0</v>
      </c>
    </row>
    <row r="121" spans="2:129" s="3" customFormat="1" ht="12.75" x14ac:dyDescent="0.2">
      <c r="B121" s="12">
        <f t="shared" si="132"/>
        <v>96</v>
      </c>
      <c r="C121" s="13">
        <f t="shared" si="148"/>
        <v>5.6093588117722012E-2</v>
      </c>
      <c r="D121" s="82">
        <f>IF($B121=F$20,'Construction Costs_2022'!$K$22+'Construction Costs_2022'!$K$7,0)</f>
        <v>0</v>
      </c>
      <c r="E121" s="38">
        <f t="shared" si="133"/>
        <v>28800</v>
      </c>
      <c r="F121" s="38"/>
      <c r="G121" s="45"/>
      <c r="H121" s="46">
        <f t="shared" ref="H121:H124" si="152">SUM(D121:G121)</f>
        <v>28800</v>
      </c>
      <c r="I121" s="41">
        <f t="shared" si="122"/>
        <v>0</v>
      </c>
      <c r="J121" s="41">
        <f t="shared" si="122"/>
        <v>1615.4953377903939</v>
      </c>
      <c r="K121" s="47">
        <f t="shared" si="122"/>
        <v>0</v>
      </c>
      <c r="L121" s="47">
        <f t="shared" si="122"/>
        <v>0</v>
      </c>
      <c r="M121" s="92">
        <f t="shared" si="134"/>
        <v>1615.4953377903939</v>
      </c>
      <c r="N121" s="91">
        <f>IF($B121=P$20,'Construction Costs_2022'!$K$43+'Construction Costs_2022'!$K$7,0)</f>
        <v>0</v>
      </c>
      <c r="O121" s="38">
        <f t="shared" si="135"/>
        <v>43200</v>
      </c>
      <c r="P121" s="38"/>
      <c r="Q121" s="45"/>
      <c r="R121" s="46">
        <f t="shared" ref="R121:R124" si="153">SUM(N121:Q121)</f>
        <v>43200</v>
      </c>
      <c r="S121" s="41">
        <f t="shared" si="150"/>
        <v>0</v>
      </c>
      <c r="T121" s="41">
        <f t="shared" si="150"/>
        <v>2423.2430066855909</v>
      </c>
      <c r="U121" s="47">
        <f t="shared" si="149"/>
        <v>0</v>
      </c>
      <c r="V121" s="47">
        <f t="shared" si="151"/>
        <v>0</v>
      </c>
      <c r="W121" s="92">
        <f t="shared" si="136"/>
        <v>2423.2430066855909</v>
      </c>
      <c r="X121" s="82">
        <f>IF($B121=AP$20,'OBC Cost _Van Oord 2022'!$E$30,0)</f>
        <v>0</v>
      </c>
      <c r="Y121" s="38">
        <f t="shared" si="137"/>
        <v>0</v>
      </c>
      <c r="Z121" s="38"/>
      <c r="AA121" s="38"/>
      <c r="AB121" s="38"/>
      <c r="AC121" s="38"/>
      <c r="AD121" s="38"/>
      <c r="AE121" s="38"/>
      <c r="AF121" s="38"/>
      <c r="AG121" s="38"/>
      <c r="AH121" s="38"/>
      <c r="AI121" s="38"/>
      <c r="AJ121" s="38"/>
      <c r="AK121" s="38"/>
      <c r="AL121" s="38"/>
      <c r="AM121" s="38"/>
      <c r="AN121" s="38"/>
      <c r="AO121" s="38"/>
      <c r="AP121" s="38"/>
      <c r="AQ121" s="45">
        <f t="shared" si="146"/>
        <v>0</v>
      </c>
      <c r="AR121" s="45"/>
      <c r="AS121" s="46">
        <f t="shared" ref="AS121:AS124" si="154">SUM(X121:AR121)</f>
        <v>0</v>
      </c>
      <c r="AT121" s="41">
        <f t="shared" si="124"/>
        <v>0</v>
      </c>
      <c r="AU121" s="41">
        <f t="shared" si="125"/>
        <v>0</v>
      </c>
      <c r="AV121" s="47"/>
      <c r="AW121" s="47"/>
      <c r="AX121" s="47"/>
      <c r="AY121" s="47"/>
      <c r="AZ121" s="47"/>
      <c r="BA121" s="47"/>
      <c r="BB121" s="47"/>
      <c r="BC121" s="47"/>
      <c r="BD121" s="47"/>
      <c r="BE121" s="47"/>
      <c r="BF121" s="47"/>
      <c r="BG121" s="47"/>
      <c r="BH121" s="47"/>
      <c r="BI121" s="47"/>
      <c r="BJ121" s="47"/>
      <c r="BK121" s="47"/>
      <c r="BL121" s="47"/>
      <c r="BM121" s="47">
        <f t="shared" si="141"/>
        <v>0</v>
      </c>
      <c r="BN121" s="92">
        <f t="shared" ref="BN121:BN124" si="155">SUM(AT121:BM121)</f>
        <v>0</v>
      </c>
      <c r="BO121" s="82">
        <f>IF($B121=BQ$20,'Construction Costs_2022'!$K$84+'Construction Costs_2022'!$K$7,0)</f>
        <v>0</v>
      </c>
      <c r="BP121" s="38">
        <f t="shared" ref="BP121:BP124" si="156">IF(BO121&gt;0,0,SUM(IF(AND(MOD(($B121-BQ$20),BQ$12)=0,$B121&gt;F$20),BR$12,0)+IF(AND(MOD(($B121-F$20),BQ$13)=0,$B121&gt;=F$20),BR$13,0)+IF(AND(MOD(($B121-F$20),BQ$16)=0,$B121&gt;=F$20),BR$16,0)+IF(AND(MOD(($B121-F$20),BQ$17)=0,$B121&gt;=F$20),BR$17,0)+IF(AND(MOD(($B121-F$20),BQ$18)=0,$B121&gt;=F$20),BR$18,0)+IF(AND(MOD(($B121-F$20),BQ$19)=0,$B121&gt;=F$20),BR$19,0)))</f>
        <v>0</v>
      </c>
      <c r="BQ121" s="38"/>
      <c r="BR121" s="45"/>
      <c r="BS121" s="46">
        <f t="shared" si="142"/>
        <v>0</v>
      </c>
      <c r="BT121" s="41">
        <f t="shared" si="128"/>
        <v>0</v>
      </c>
      <c r="BU121" s="41">
        <f t="shared" si="128"/>
        <v>0</v>
      </c>
      <c r="BV121" s="47">
        <f t="shared" si="128"/>
        <v>0</v>
      </c>
      <c r="BW121" s="47">
        <f t="shared" si="120"/>
        <v>0</v>
      </c>
      <c r="BX121" s="92">
        <f t="shared" si="138"/>
        <v>0</v>
      </c>
      <c r="BY121" s="82">
        <f>IF($B121=CA$20,'Construction Costs_2022'!$K$104+'Construction Costs_2022'!$K$7,0)</f>
        <v>0</v>
      </c>
      <c r="BZ121" s="38">
        <f t="shared" ref="BZ121:BZ124" si="157">IF(BY121&gt;0,0,SUM(IF(AND(MOD(($B121-CA$20),CA$12)=0,$B121&gt;F$20),CB$12,0)+IF(AND(MOD(($B121-F$20),CA$13)=0,$B121&gt;=F$20),CB$13,0)+IF(AND(MOD(($B121-F$20),CA$16)=0,$B121&gt;=F$20),CB$16,0)+IF(AND(MOD(($B121-F$20),CA$17)=0,$B121&gt;=F$20),CB$17,0)+IF(AND(MOD(($B121-F$20),CA$18)=0,$B121&gt;=F$20),CB$18,0)+IF(AND(MOD(($B121-F$20),CA$19)=0,$B121&gt;=F$20),CB$19,0)))</f>
        <v>0</v>
      </c>
      <c r="CA121" s="38"/>
      <c r="CB121" s="45"/>
      <c r="CC121" s="46">
        <f t="shared" si="143"/>
        <v>0</v>
      </c>
      <c r="CD121" s="41">
        <f t="shared" si="130"/>
        <v>0</v>
      </c>
      <c r="CE121" s="41">
        <f t="shared" si="130"/>
        <v>0</v>
      </c>
      <c r="CF121" s="47">
        <f t="shared" si="130"/>
        <v>0</v>
      </c>
      <c r="CG121" s="47">
        <f t="shared" si="121"/>
        <v>0</v>
      </c>
      <c r="CH121" s="92">
        <f t="shared" si="139"/>
        <v>0</v>
      </c>
      <c r="CI121" s="82">
        <f>IF($B121=DA$20,'OBC Cost _Van Oord 2022'!$E$30,0)</f>
        <v>0</v>
      </c>
      <c r="CJ121" s="38">
        <f t="shared" si="140"/>
        <v>0</v>
      </c>
      <c r="CK121" s="38"/>
      <c r="CL121" s="38"/>
      <c r="CM121" s="38"/>
      <c r="CN121" s="38"/>
      <c r="CO121" s="38"/>
      <c r="CP121" s="38"/>
      <c r="CQ121" s="38"/>
      <c r="CR121" s="38"/>
      <c r="CS121" s="38"/>
      <c r="CT121" s="38"/>
      <c r="CU121" s="38"/>
      <c r="CV121" s="38"/>
      <c r="CW121" s="38"/>
      <c r="CX121" s="38"/>
      <c r="CY121" s="38"/>
      <c r="CZ121" s="38"/>
      <c r="DA121" s="38"/>
      <c r="DB121" s="45">
        <f t="shared" si="147"/>
        <v>0</v>
      </c>
      <c r="DC121" s="45"/>
      <c r="DD121" s="46">
        <f t="shared" ref="DD121:DD124" si="158">SUM(CI121:DC121)</f>
        <v>0</v>
      </c>
      <c r="DE121" s="41">
        <f t="shared" si="144"/>
        <v>0</v>
      </c>
      <c r="DF121" s="41">
        <f t="shared" si="131"/>
        <v>0</v>
      </c>
      <c r="DG121" s="47"/>
      <c r="DH121" s="47"/>
      <c r="DI121" s="47"/>
      <c r="DJ121" s="47"/>
      <c r="DK121" s="47"/>
      <c r="DL121" s="47"/>
      <c r="DM121" s="47"/>
      <c r="DN121" s="47"/>
      <c r="DO121" s="47"/>
      <c r="DP121" s="47"/>
      <c r="DQ121" s="47"/>
      <c r="DR121" s="47"/>
      <c r="DS121" s="47"/>
      <c r="DT121" s="47"/>
      <c r="DU121" s="47"/>
      <c r="DV121" s="47"/>
      <c r="DW121" s="47"/>
      <c r="DX121" s="47">
        <f t="shared" si="145"/>
        <v>0</v>
      </c>
      <c r="DY121" s="92">
        <f t="shared" ref="DY121:DY124" si="159">SUM(DE121:DX121)</f>
        <v>0</v>
      </c>
    </row>
    <row r="122" spans="2:129" s="3" customFormat="1" ht="12.75" x14ac:dyDescent="0.2">
      <c r="B122" s="12">
        <f t="shared" si="132"/>
        <v>97</v>
      </c>
      <c r="C122" s="13">
        <f t="shared" si="148"/>
        <v>5.4725451822167821E-2</v>
      </c>
      <c r="D122" s="82">
        <f>IF($B122=F$20,'Construction Costs_2022'!$K$22+'Construction Costs_2022'!$K$7,0)</f>
        <v>0</v>
      </c>
      <c r="E122" s="38">
        <f t="shared" si="133"/>
        <v>28800</v>
      </c>
      <c r="F122" s="38"/>
      <c r="G122" s="45"/>
      <c r="H122" s="46">
        <f t="shared" si="152"/>
        <v>28800</v>
      </c>
      <c r="I122" s="41">
        <f t="shared" si="122"/>
        <v>0</v>
      </c>
      <c r="J122" s="41">
        <f t="shared" si="122"/>
        <v>1576.0930124784334</v>
      </c>
      <c r="K122" s="47">
        <f t="shared" si="122"/>
        <v>0</v>
      </c>
      <c r="L122" s="47">
        <f t="shared" si="122"/>
        <v>0</v>
      </c>
      <c r="M122" s="92">
        <f t="shared" si="134"/>
        <v>1576.0930124784334</v>
      </c>
      <c r="N122" s="91">
        <f>IF($B122=P$20,'Construction Costs_2022'!$K$43+'Construction Costs_2022'!$K$7,0)</f>
        <v>0</v>
      </c>
      <c r="O122" s="38">
        <f t="shared" si="135"/>
        <v>43200</v>
      </c>
      <c r="P122" s="38"/>
      <c r="Q122" s="45"/>
      <c r="R122" s="46">
        <f t="shared" si="153"/>
        <v>43200</v>
      </c>
      <c r="S122" s="41">
        <f t="shared" si="150"/>
        <v>0</v>
      </c>
      <c r="T122" s="41">
        <f t="shared" si="150"/>
        <v>2364.1395187176499</v>
      </c>
      <c r="U122" s="47">
        <f t="shared" si="149"/>
        <v>0</v>
      </c>
      <c r="V122" s="47">
        <f t="shared" si="151"/>
        <v>0</v>
      </c>
      <c r="W122" s="92">
        <f t="shared" si="136"/>
        <v>2364.1395187176499</v>
      </c>
      <c r="X122" s="82">
        <f>IF($B122=AP$20,'OBC Cost _Van Oord 2022'!$E$30,0)</f>
        <v>0</v>
      </c>
      <c r="Y122" s="38">
        <f t="shared" si="137"/>
        <v>86400</v>
      </c>
      <c r="Z122" s="38"/>
      <c r="AA122" s="38"/>
      <c r="AB122" s="38"/>
      <c r="AC122" s="38"/>
      <c r="AD122" s="38"/>
      <c r="AE122" s="38"/>
      <c r="AF122" s="38"/>
      <c r="AG122" s="38"/>
      <c r="AH122" s="38"/>
      <c r="AI122" s="38"/>
      <c r="AJ122" s="38"/>
      <c r="AK122" s="38"/>
      <c r="AL122" s="38"/>
      <c r="AM122" s="38"/>
      <c r="AN122" s="38"/>
      <c r="AO122" s="38"/>
      <c r="AP122" s="38"/>
      <c r="AQ122" s="45">
        <f t="shared" si="146"/>
        <v>22464</v>
      </c>
      <c r="AR122" s="45"/>
      <c r="AS122" s="46">
        <f t="shared" si="154"/>
        <v>108864</v>
      </c>
      <c r="AT122" s="41">
        <f t="shared" si="124"/>
        <v>0</v>
      </c>
      <c r="AU122" s="41">
        <f t="shared" si="125"/>
        <v>4728.2790374352999</v>
      </c>
      <c r="AV122" s="47"/>
      <c r="AW122" s="47"/>
      <c r="AX122" s="47"/>
      <c r="AY122" s="47"/>
      <c r="AZ122" s="47"/>
      <c r="BA122" s="47"/>
      <c r="BB122" s="47"/>
      <c r="BC122" s="47"/>
      <c r="BD122" s="47"/>
      <c r="BE122" s="47"/>
      <c r="BF122" s="47"/>
      <c r="BG122" s="47"/>
      <c r="BH122" s="47"/>
      <c r="BI122" s="47"/>
      <c r="BJ122" s="47"/>
      <c r="BK122" s="47"/>
      <c r="BL122" s="47"/>
      <c r="BM122" s="47">
        <f t="shared" si="141"/>
        <v>1229.352549733178</v>
      </c>
      <c r="BN122" s="92">
        <f t="shared" si="155"/>
        <v>5957.6315871684783</v>
      </c>
      <c r="BO122" s="82">
        <f>IF($B122=BQ$20,'Construction Costs_2022'!$K$84+'Construction Costs_2022'!$K$7,0)</f>
        <v>0</v>
      </c>
      <c r="BP122" s="38">
        <f t="shared" si="156"/>
        <v>100800</v>
      </c>
      <c r="BQ122" s="38"/>
      <c r="BR122" s="45"/>
      <c r="BS122" s="46">
        <f t="shared" si="142"/>
        <v>100800</v>
      </c>
      <c r="BT122" s="41">
        <f t="shared" si="128"/>
        <v>0</v>
      </c>
      <c r="BU122" s="41">
        <f t="shared" si="128"/>
        <v>5516.3255436745167</v>
      </c>
      <c r="BV122" s="47">
        <f t="shared" si="128"/>
        <v>0</v>
      </c>
      <c r="BW122" s="47">
        <f t="shared" si="120"/>
        <v>0</v>
      </c>
      <c r="BX122" s="92">
        <f t="shared" si="138"/>
        <v>5516.3255436745167</v>
      </c>
      <c r="BY122" s="82">
        <f>IF($B122=CA$20,'Construction Costs_2022'!$K$104+'Construction Costs_2022'!$K$7,0)</f>
        <v>0</v>
      </c>
      <c r="BZ122" s="38">
        <f t="shared" si="157"/>
        <v>57600</v>
      </c>
      <c r="CA122" s="38"/>
      <c r="CB122" s="45"/>
      <c r="CC122" s="46">
        <f t="shared" si="143"/>
        <v>57600</v>
      </c>
      <c r="CD122" s="41">
        <f t="shared" si="130"/>
        <v>0</v>
      </c>
      <c r="CE122" s="41">
        <f t="shared" si="130"/>
        <v>3152.1860249568667</v>
      </c>
      <c r="CF122" s="47">
        <f t="shared" si="130"/>
        <v>0</v>
      </c>
      <c r="CG122" s="47">
        <f t="shared" si="121"/>
        <v>0</v>
      </c>
      <c r="CH122" s="92">
        <f t="shared" si="139"/>
        <v>3152.1860249568667</v>
      </c>
      <c r="CI122" s="82">
        <f>IF($B122=DA$20,'OBC Cost _Van Oord 2022'!$E$30,0)</f>
        <v>0</v>
      </c>
      <c r="CJ122" s="38">
        <f t="shared" si="140"/>
        <v>86400</v>
      </c>
      <c r="CK122" s="38"/>
      <c r="CL122" s="38"/>
      <c r="CM122" s="38"/>
      <c r="CN122" s="38"/>
      <c r="CO122" s="38"/>
      <c r="CP122" s="38"/>
      <c r="CQ122" s="38"/>
      <c r="CR122" s="38"/>
      <c r="CS122" s="38"/>
      <c r="CT122" s="38"/>
      <c r="CU122" s="38"/>
      <c r="CV122" s="38"/>
      <c r="CW122" s="38"/>
      <c r="CX122" s="38"/>
      <c r="CY122" s="38"/>
      <c r="CZ122" s="38"/>
      <c r="DA122" s="38"/>
      <c r="DB122" s="45">
        <f t="shared" si="147"/>
        <v>25920</v>
      </c>
      <c r="DC122" s="45"/>
      <c r="DD122" s="46">
        <f t="shared" si="158"/>
        <v>112320</v>
      </c>
      <c r="DE122" s="41">
        <f t="shared" si="144"/>
        <v>0</v>
      </c>
      <c r="DF122" s="41">
        <f t="shared" si="131"/>
        <v>4728.2790374352999</v>
      </c>
      <c r="DG122" s="47"/>
      <c r="DH122" s="47"/>
      <c r="DI122" s="47"/>
      <c r="DJ122" s="47"/>
      <c r="DK122" s="47"/>
      <c r="DL122" s="47"/>
      <c r="DM122" s="47"/>
      <c r="DN122" s="47"/>
      <c r="DO122" s="47"/>
      <c r="DP122" s="47"/>
      <c r="DQ122" s="47"/>
      <c r="DR122" s="47"/>
      <c r="DS122" s="47"/>
      <c r="DT122" s="47"/>
      <c r="DU122" s="47"/>
      <c r="DV122" s="47"/>
      <c r="DW122" s="47"/>
      <c r="DX122" s="47">
        <f t="shared" si="145"/>
        <v>1418.48371123059</v>
      </c>
      <c r="DY122" s="92">
        <f t="shared" si="159"/>
        <v>6146.7627486658894</v>
      </c>
    </row>
    <row r="123" spans="2:129" s="3" customFormat="1" ht="12.75" x14ac:dyDescent="0.2">
      <c r="B123" s="12">
        <f t="shared" si="132"/>
        <v>98</v>
      </c>
      <c r="C123" s="13">
        <f t="shared" si="148"/>
        <v>5.3390684704553978E-2</v>
      </c>
      <c r="D123" s="82">
        <f>IF($B123=F$20,'Construction Costs_2022'!$K$22+'Construction Costs_2022'!$K$7,0)</f>
        <v>0</v>
      </c>
      <c r="E123" s="38">
        <f t="shared" si="133"/>
        <v>28800</v>
      </c>
      <c r="F123" s="38"/>
      <c r="G123" s="45"/>
      <c r="H123" s="46">
        <f t="shared" si="152"/>
        <v>28800</v>
      </c>
      <c r="I123" s="41">
        <f t="shared" si="122"/>
        <v>0</v>
      </c>
      <c r="J123" s="41">
        <f t="shared" si="122"/>
        <v>1537.6517194911546</v>
      </c>
      <c r="K123" s="47">
        <f t="shared" si="122"/>
        <v>0</v>
      </c>
      <c r="L123" s="47">
        <f t="shared" si="122"/>
        <v>0</v>
      </c>
      <c r="M123" s="92">
        <f t="shared" si="134"/>
        <v>1537.6517194911546</v>
      </c>
      <c r="N123" s="91">
        <f>IF($B123=P$20,'Construction Costs_2022'!$K$43+'Construction Costs_2022'!$K$7,0)</f>
        <v>0</v>
      </c>
      <c r="O123" s="38">
        <f t="shared" si="135"/>
        <v>43200</v>
      </c>
      <c r="P123" s="38"/>
      <c r="Q123" s="45"/>
      <c r="R123" s="46">
        <f t="shared" si="153"/>
        <v>43200</v>
      </c>
      <c r="S123" s="41">
        <f t="shared" si="150"/>
        <v>0</v>
      </c>
      <c r="T123" s="41">
        <f t="shared" si="150"/>
        <v>2306.4775792367318</v>
      </c>
      <c r="U123" s="47">
        <f t="shared" si="149"/>
        <v>0</v>
      </c>
      <c r="V123" s="47">
        <f t="shared" si="151"/>
        <v>0</v>
      </c>
      <c r="W123" s="92">
        <f t="shared" si="136"/>
        <v>2306.4775792367318</v>
      </c>
      <c r="X123" s="82">
        <f>IF($B123=AP$20,'OBC Cost _Van Oord 2022'!$E$30,0)</f>
        <v>0</v>
      </c>
      <c r="Y123" s="38">
        <f t="shared" si="137"/>
        <v>0</v>
      </c>
      <c r="Z123" s="38"/>
      <c r="AA123" s="38"/>
      <c r="AB123" s="38"/>
      <c r="AC123" s="38"/>
      <c r="AD123" s="38"/>
      <c r="AE123" s="38"/>
      <c r="AF123" s="38"/>
      <c r="AG123" s="38"/>
      <c r="AH123" s="38"/>
      <c r="AI123" s="38"/>
      <c r="AJ123" s="38"/>
      <c r="AK123" s="38"/>
      <c r="AL123" s="38"/>
      <c r="AM123" s="38"/>
      <c r="AN123" s="38"/>
      <c r="AO123" s="38"/>
      <c r="AP123" s="38"/>
      <c r="AQ123" s="45">
        <f t="shared" si="146"/>
        <v>0</v>
      </c>
      <c r="AR123" s="45"/>
      <c r="AS123" s="46">
        <f t="shared" si="154"/>
        <v>0</v>
      </c>
      <c r="AT123" s="41">
        <f t="shared" si="124"/>
        <v>0</v>
      </c>
      <c r="AU123" s="41">
        <f t="shared" si="125"/>
        <v>0</v>
      </c>
      <c r="AV123" s="47"/>
      <c r="AW123" s="47"/>
      <c r="AX123" s="47"/>
      <c r="AY123" s="47"/>
      <c r="AZ123" s="47"/>
      <c r="BA123" s="47"/>
      <c r="BB123" s="47"/>
      <c r="BC123" s="47"/>
      <c r="BD123" s="47"/>
      <c r="BE123" s="47"/>
      <c r="BF123" s="47"/>
      <c r="BG123" s="47"/>
      <c r="BH123" s="47"/>
      <c r="BI123" s="47"/>
      <c r="BJ123" s="47"/>
      <c r="BK123" s="47"/>
      <c r="BL123" s="47"/>
      <c r="BM123" s="47">
        <f t="shared" si="141"/>
        <v>0</v>
      </c>
      <c r="BN123" s="92">
        <f t="shared" si="155"/>
        <v>0</v>
      </c>
      <c r="BO123" s="49">
        <f>IF($B123=BQ$20,'Construction Costs_2022'!$K$84+'Construction Costs_2022'!$K$7,0)</f>
        <v>0</v>
      </c>
      <c r="BP123" s="38">
        <f t="shared" si="156"/>
        <v>0</v>
      </c>
      <c r="BQ123" s="38"/>
      <c r="BR123" s="45"/>
      <c r="BS123" s="46">
        <f t="shared" si="142"/>
        <v>0</v>
      </c>
      <c r="BT123" s="41">
        <f t="shared" si="128"/>
        <v>0</v>
      </c>
      <c r="BU123" s="41">
        <f t="shared" si="128"/>
        <v>0</v>
      </c>
      <c r="BV123" s="47">
        <f t="shared" si="128"/>
        <v>0</v>
      </c>
      <c r="BW123" s="47">
        <f t="shared" si="120"/>
        <v>0</v>
      </c>
      <c r="BX123" s="92">
        <f t="shared" si="138"/>
        <v>0</v>
      </c>
      <c r="BY123" s="82">
        <f>IF($B123=CA$20,'Construction Costs_2022'!$K$104+'Construction Costs_2022'!$K$7,0)</f>
        <v>0</v>
      </c>
      <c r="BZ123" s="38">
        <f t="shared" si="157"/>
        <v>0</v>
      </c>
      <c r="CA123" s="38"/>
      <c r="CB123" s="45"/>
      <c r="CC123" s="46">
        <f t="shared" si="143"/>
        <v>0</v>
      </c>
      <c r="CD123" s="41">
        <f t="shared" si="130"/>
        <v>0</v>
      </c>
      <c r="CE123" s="41">
        <f t="shared" si="130"/>
        <v>0</v>
      </c>
      <c r="CF123" s="47">
        <f t="shared" si="130"/>
        <v>0</v>
      </c>
      <c r="CG123" s="47">
        <f t="shared" si="121"/>
        <v>0</v>
      </c>
      <c r="CH123" s="92">
        <f t="shared" si="139"/>
        <v>0</v>
      </c>
      <c r="CI123" s="82">
        <f>IF($B123=DA$20,'OBC Cost _Van Oord 2022'!$E$30,0)</f>
        <v>0</v>
      </c>
      <c r="CJ123" s="38">
        <f t="shared" si="140"/>
        <v>0</v>
      </c>
      <c r="CK123" s="38"/>
      <c r="CL123" s="38"/>
      <c r="CM123" s="38"/>
      <c r="CN123" s="38"/>
      <c r="CO123" s="38"/>
      <c r="CP123" s="38"/>
      <c r="CQ123" s="38"/>
      <c r="CR123" s="38"/>
      <c r="CS123" s="38"/>
      <c r="CT123" s="38"/>
      <c r="CU123" s="38"/>
      <c r="CV123" s="38"/>
      <c r="CW123" s="38"/>
      <c r="CX123" s="38"/>
      <c r="CY123" s="38"/>
      <c r="CZ123" s="38"/>
      <c r="DA123" s="38"/>
      <c r="DB123" s="45">
        <f t="shared" si="147"/>
        <v>0</v>
      </c>
      <c r="DC123" s="45"/>
      <c r="DD123" s="46">
        <f t="shared" si="158"/>
        <v>0</v>
      </c>
      <c r="DE123" s="41">
        <f t="shared" si="144"/>
        <v>0</v>
      </c>
      <c r="DF123" s="41">
        <f t="shared" si="131"/>
        <v>0</v>
      </c>
      <c r="DG123" s="47"/>
      <c r="DH123" s="47"/>
      <c r="DI123" s="47"/>
      <c r="DJ123" s="47"/>
      <c r="DK123" s="47"/>
      <c r="DL123" s="47"/>
      <c r="DM123" s="47"/>
      <c r="DN123" s="47"/>
      <c r="DO123" s="47"/>
      <c r="DP123" s="47"/>
      <c r="DQ123" s="47"/>
      <c r="DR123" s="47"/>
      <c r="DS123" s="47"/>
      <c r="DT123" s="47"/>
      <c r="DU123" s="47"/>
      <c r="DV123" s="47"/>
      <c r="DW123" s="47"/>
      <c r="DX123" s="47">
        <f t="shared" si="145"/>
        <v>0</v>
      </c>
      <c r="DY123" s="92">
        <f t="shared" si="159"/>
        <v>0</v>
      </c>
    </row>
    <row r="124" spans="2:129" s="3" customFormat="1" ht="13.5" thickBot="1" x14ac:dyDescent="0.25">
      <c r="B124" s="84">
        <f t="shared" si="132"/>
        <v>99</v>
      </c>
      <c r="C124" s="85">
        <f t="shared" si="148"/>
        <v>5.2088472882491688E-2</v>
      </c>
      <c r="D124" s="86">
        <f>IF($B124=F$20,'Construction Costs_2022'!$K$22+'Construction Costs_2022'!$K$7,0)</f>
        <v>0</v>
      </c>
      <c r="E124" s="38">
        <f t="shared" si="133"/>
        <v>28800</v>
      </c>
      <c r="F124" s="87"/>
      <c r="G124" s="88"/>
      <c r="H124" s="50">
        <f t="shared" si="152"/>
        <v>28800</v>
      </c>
      <c r="I124" s="51">
        <f t="shared" si="122"/>
        <v>0</v>
      </c>
      <c r="J124" s="51">
        <f t="shared" si="122"/>
        <v>1500.1480190157606</v>
      </c>
      <c r="K124" s="52">
        <f t="shared" si="122"/>
        <v>0</v>
      </c>
      <c r="L124" s="52">
        <f t="shared" si="122"/>
        <v>0</v>
      </c>
      <c r="M124" s="93">
        <f t="shared" si="134"/>
        <v>1500.1480190157606</v>
      </c>
      <c r="N124" s="135">
        <f>IF($B124=P$20,'Construction Costs_2022'!$K$43+'Construction Costs_2022'!$K$7,0)</f>
        <v>0</v>
      </c>
      <c r="O124" s="38">
        <f t="shared" si="135"/>
        <v>43200</v>
      </c>
      <c r="P124" s="87"/>
      <c r="Q124" s="88"/>
      <c r="R124" s="50">
        <f t="shared" si="153"/>
        <v>43200</v>
      </c>
      <c r="S124" s="51">
        <f t="shared" si="150"/>
        <v>0</v>
      </c>
      <c r="T124" s="51">
        <f t="shared" si="150"/>
        <v>2250.2220285236408</v>
      </c>
      <c r="U124" s="52">
        <f t="shared" si="149"/>
        <v>0</v>
      </c>
      <c r="V124" s="52">
        <f t="shared" si="151"/>
        <v>0</v>
      </c>
      <c r="W124" s="140">
        <f t="shared" si="136"/>
        <v>2250.2220285236408</v>
      </c>
      <c r="X124" s="82">
        <f>IF($B124=AP$20,'OBC Cost _Van Oord 2022'!$E$30,0)</f>
        <v>0</v>
      </c>
      <c r="Y124" s="38">
        <f t="shared" si="137"/>
        <v>0</v>
      </c>
      <c r="Z124" s="87"/>
      <c r="AA124" s="87"/>
      <c r="AB124" s="87"/>
      <c r="AC124" s="87"/>
      <c r="AD124" s="87"/>
      <c r="AE124" s="87"/>
      <c r="AF124" s="87"/>
      <c r="AG124" s="87"/>
      <c r="AH124" s="87"/>
      <c r="AI124" s="87"/>
      <c r="AJ124" s="87"/>
      <c r="AK124" s="87"/>
      <c r="AL124" s="87"/>
      <c r="AM124" s="87"/>
      <c r="AN124" s="87"/>
      <c r="AO124" s="87"/>
      <c r="AP124" s="87"/>
      <c r="AQ124" s="45">
        <f t="shared" si="146"/>
        <v>0</v>
      </c>
      <c r="AR124" s="88"/>
      <c r="AS124" s="50">
        <f t="shared" si="154"/>
        <v>0</v>
      </c>
      <c r="AT124" s="51">
        <f t="shared" si="124"/>
        <v>0</v>
      </c>
      <c r="AU124" s="51">
        <f t="shared" si="125"/>
        <v>0</v>
      </c>
      <c r="AV124" s="52"/>
      <c r="AW124" s="52"/>
      <c r="AX124" s="52"/>
      <c r="AY124" s="52"/>
      <c r="AZ124" s="52"/>
      <c r="BA124" s="52"/>
      <c r="BB124" s="52"/>
      <c r="BC124" s="52"/>
      <c r="BD124" s="52"/>
      <c r="BE124" s="52"/>
      <c r="BF124" s="52"/>
      <c r="BG124" s="52"/>
      <c r="BH124" s="52"/>
      <c r="BI124" s="52"/>
      <c r="BJ124" s="52"/>
      <c r="BK124" s="52"/>
      <c r="BL124" s="52"/>
      <c r="BM124" s="47">
        <f t="shared" si="141"/>
        <v>0</v>
      </c>
      <c r="BN124" s="93">
        <f t="shared" si="155"/>
        <v>0</v>
      </c>
      <c r="BO124" s="86">
        <f>IF($B124=BQ$20,'Construction Costs_2022'!$K$84+'Construction Costs_2022'!$K$7,0)</f>
        <v>0</v>
      </c>
      <c r="BP124" s="87">
        <f t="shared" si="156"/>
        <v>0</v>
      </c>
      <c r="BQ124" s="87"/>
      <c r="BR124" s="88"/>
      <c r="BS124" s="50">
        <f t="shared" si="142"/>
        <v>0</v>
      </c>
      <c r="BT124" s="51">
        <f t="shared" si="128"/>
        <v>0</v>
      </c>
      <c r="BU124" s="51">
        <f t="shared" si="128"/>
        <v>0</v>
      </c>
      <c r="BV124" s="52">
        <f t="shared" si="128"/>
        <v>0</v>
      </c>
      <c r="BW124" s="52">
        <f t="shared" si="120"/>
        <v>0</v>
      </c>
      <c r="BX124" s="93">
        <f t="shared" si="138"/>
        <v>0</v>
      </c>
      <c r="BY124" s="135">
        <f>IF($B124=CA$20,'Construction Costs_2022'!$K$104+'Construction Costs_2022'!$K$7,0)</f>
        <v>0</v>
      </c>
      <c r="BZ124" s="87">
        <f t="shared" si="157"/>
        <v>0</v>
      </c>
      <c r="CA124" s="87"/>
      <c r="CB124" s="88"/>
      <c r="CC124" s="50">
        <f t="shared" si="143"/>
        <v>0</v>
      </c>
      <c r="CD124" s="51">
        <f t="shared" si="130"/>
        <v>0</v>
      </c>
      <c r="CE124" s="51">
        <f t="shared" si="130"/>
        <v>0</v>
      </c>
      <c r="CF124" s="52">
        <f t="shared" si="130"/>
        <v>0</v>
      </c>
      <c r="CG124" s="52">
        <f t="shared" si="121"/>
        <v>0</v>
      </c>
      <c r="CH124" s="93">
        <f t="shared" si="139"/>
        <v>0</v>
      </c>
      <c r="CI124" s="82">
        <f>IF($B124=DA$20,'OBC Cost _Van Oord 2022'!$E$30,0)</f>
        <v>0</v>
      </c>
      <c r="CJ124" s="38">
        <f t="shared" si="140"/>
        <v>0</v>
      </c>
      <c r="CK124" s="87"/>
      <c r="CL124" s="87"/>
      <c r="CM124" s="87"/>
      <c r="CN124" s="87"/>
      <c r="CO124" s="87"/>
      <c r="CP124" s="87"/>
      <c r="CQ124" s="87"/>
      <c r="CR124" s="87"/>
      <c r="CS124" s="87"/>
      <c r="CT124" s="87"/>
      <c r="CU124" s="87"/>
      <c r="CV124" s="87"/>
      <c r="CW124" s="87"/>
      <c r="CX124" s="87"/>
      <c r="CY124" s="87"/>
      <c r="CZ124" s="87"/>
      <c r="DA124" s="87"/>
      <c r="DB124" s="45">
        <f t="shared" si="147"/>
        <v>0</v>
      </c>
      <c r="DC124" s="88"/>
      <c r="DD124" s="50">
        <f t="shared" si="158"/>
        <v>0</v>
      </c>
      <c r="DE124" s="51">
        <f t="shared" si="144"/>
        <v>0</v>
      </c>
      <c r="DF124" s="51">
        <f t="shared" si="131"/>
        <v>0</v>
      </c>
      <c r="DG124" s="52"/>
      <c r="DH124" s="52"/>
      <c r="DI124" s="52"/>
      <c r="DJ124" s="52"/>
      <c r="DK124" s="52"/>
      <c r="DL124" s="52"/>
      <c r="DM124" s="52"/>
      <c r="DN124" s="52"/>
      <c r="DO124" s="52"/>
      <c r="DP124" s="52"/>
      <c r="DQ124" s="52"/>
      <c r="DR124" s="52"/>
      <c r="DS124" s="52"/>
      <c r="DT124" s="52"/>
      <c r="DU124" s="52"/>
      <c r="DV124" s="52"/>
      <c r="DW124" s="52"/>
      <c r="DX124" s="47">
        <f t="shared" si="145"/>
        <v>0</v>
      </c>
      <c r="DY124" s="93">
        <f t="shared" si="159"/>
        <v>0</v>
      </c>
    </row>
    <row r="125" spans="2:129" x14ac:dyDescent="0.25">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c r="BL125" s="53"/>
      <c r="BM125" s="53"/>
      <c r="BN125" s="53"/>
      <c r="BO125" s="16"/>
      <c r="BP125" s="16"/>
      <c r="BQ125" s="16"/>
      <c r="BR125" s="16"/>
      <c r="BS125" s="16"/>
      <c r="BT125" s="16"/>
      <c r="CI125" s="53"/>
      <c r="CJ125" s="53"/>
      <c r="CK125" s="53"/>
      <c r="CL125" s="53"/>
      <c r="CM125" s="53"/>
      <c r="CN125" s="53"/>
      <c r="CO125" s="53"/>
      <c r="CP125" s="53"/>
      <c r="CQ125" s="53"/>
      <c r="CR125" s="53"/>
      <c r="CS125" s="53"/>
      <c r="CT125" s="53"/>
      <c r="CU125" s="53"/>
      <c r="CV125" s="53"/>
      <c r="CW125" s="53"/>
      <c r="CX125" s="53"/>
      <c r="CY125" s="53"/>
      <c r="CZ125" s="53"/>
      <c r="DA125" s="53"/>
      <c r="DB125" s="53"/>
      <c r="DC125" s="53"/>
      <c r="DD125" s="53"/>
      <c r="DE125" s="53"/>
      <c r="DF125" s="53"/>
      <c r="DG125" s="53"/>
      <c r="DH125" s="53"/>
      <c r="DI125" s="53"/>
      <c r="DJ125" s="53"/>
      <c r="DK125" s="53"/>
      <c r="DL125" s="53"/>
      <c r="DM125" s="53"/>
      <c r="DN125" s="53"/>
      <c r="DO125" s="53"/>
      <c r="DP125" s="53"/>
      <c r="DQ125" s="53"/>
      <c r="DR125" s="53"/>
      <c r="DS125" s="53"/>
      <c r="DT125" s="53"/>
      <c r="DU125" s="53"/>
      <c r="DV125" s="53"/>
      <c r="DW125" s="53"/>
      <c r="DX125" s="53"/>
      <c r="DY125" s="53"/>
    </row>
  </sheetData>
  <mergeCells count="5">
    <mergeCell ref="O10:P10"/>
    <mergeCell ref="CJ10:DA10"/>
    <mergeCell ref="Y10:AP10"/>
    <mergeCell ref="BP10:BQ10"/>
    <mergeCell ref="BZ10:CA10"/>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42FBA-9C2A-4833-91EC-1307012F3F97}">
  <dimension ref="A1:AX126"/>
  <sheetViews>
    <sheetView topLeftCell="A8" zoomScaleNormal="100" workbookViewId="0">
      <selection activeCell="E26" sqref="E26:E125"/>
    </sheetView>
  </sheetViews>
  <sheetFormatPr defaultColWidth="9.140625" defaultRowHeight="15" x14ac:dyDescent="0.25"/>
  <cols>
    <col min="1" max="2" width="9.140625" style="578"/>
    <col min="3" max="3" width="18.140625" style="578" bestFit="1" customWidth="1"/>
    <col min="4" max="4" width="15.5703125" style="578" bestFit="1" customWidth="1"/>
    <col min="5" max="5" width="13.5703125" style="578" customWidth="1"/>
    <col min="6" max="6" width="9.5703125" style="578" bestFit="1" customWidth="1"/>
    <col min="7" max="7" width="10.5703125" style="578" bestFit="1" customWidth="1"/>
    <col min="8" max="8" width="9.42578125" style="578" bestFit="1" customWidth="1"/>
    <col min="9" max="9" width="10.5703125" style="578" bestFit="1" customWidth="1"/>
    <col min="10" max="11" width="6.42578125" style="578" bestFit="1" customWidth="1"/>
    <col min="12" max="12" width="11.5703125" style="578" bestFit="1" customWidth="1"/>
    <col min="13" max="17" width="6.42578125" style="578" bestFit="1" customWidth="1"/>
    <col min="18" max="18" width="9.5703125" style="578" bestFit="1" customWidth="1"/>
    <col min="19" max="19" width="10.5703125" style="578" bestFit="1" customWidth="1"/>
    <col min="20" max="20" width="6.42578125" style="578" bestFit="1" customWidth="1"/>
    <col min="21" max="21" width="11.140625" style="578" customWidth="1"/>
    <col min="22" max="22" width="13.42578125" style="578" bestFit="1" customWidth="1"/>
    <col min="23" max="23" width="12.140625" style="578" bestFit="1" customWidth="1"/>
    <col min="24" max="24" width="10.5703125" style="578" bestFit="1" customWidth="1"/>
    <col min="25" max="25" width="13.42578125" style="578" bestFit="1" customWidth="1"/>
    <col min="26" max="26" width="12.42578125" style="578" bestFit="1" customWidth="1"/>
    <col min="27" max="27" width="12.140625" style="578" bestFit="1" customWidth="1"/>
    <col min="28" max="28" width="9.5703125" style="578" bestFit="1" customWidth="1"/>
    <col min="29" max="29" width="10.5703125" style="578" bestFit="1" customWidth="1"/>
    <col min="30" max="30" width="9" style="578" bestFit="1" customWidth="1"/>
    <col min="31" max="31" width="10.5703125" style="578" bestFit="1" customWidth="1"/>
    <col min="32" max="34" width="6.42578125" style="578" bestFit="1" customWidth="1"/>
    <col min="35" max="35" width="8.140625" style="578" bestFit="1" customWidth="1"/>
    <col min="36" max="39" width="6.42578125" style="578" bestFit="1" customWidth="1"/>
    <col min="40" max="40" width="8.5703125" style="578" bestFit="1" customWidth="1"/>
    <col min="41" max="41" width="10" style="578" bestFit="1" customWidth="1"/>
    <col min="42" max="42" width="6.42578125" style="578" bestFit="1" customWidth="1"/>
    <col min="43" max="43" width="9" style="578" bestFit="1" customWidth="1"/>
    <col min="44" max="44" width="12.140625" style="578" bestFit="1" customWidth="1"/>
    <col min="45" max="45" width="11.42578125" style="578" bestFit="1" customWidth="1"/>
    <col min="46" max="46" width="12.5703125" style="578" bestFit="1" customWidth="1"/>
    <col min="47" max="47" width="9.140625" style="578"/>
    <col min="48" max="48" width="12.28515625" style="578" bestFit="1" customWidth="1"/>
    <col min="49" max="16384" width="9.140625" style="578"/>
  </cols>
  <sheetData>
    <row r="1" spans="2:46" s="3" customFormat="1" ht="12.75" x14ac:dyDescent="0.2">
      <c r="B1" s="55"/>
      <c r="C1" s="15"/>
      <c r="D1" s="16"/>
      <c r="E1" s="16"/>
      <c r="F1" s="16"/>
      <c r="G1" s="16"/>
      <c r="H1" s="16"/>
      <c r="I1" s="16"/>
      <c r="J1" s="16"/>
      <c r="K1" s="16"/>
      <c r="L1" s="16"/>
      <c r="M1" s="16"/>
      <c r="N1" s="16"/>
      <c r="O1" s="16"/>
      <c r="P1" s="16"/>
      <c r="Q1" s="16"/>
      <c r="R1" s="16"/>
      <c r="S1" s="16"/>
      <c r="T1" s="16"/>
      <c r="U1" s="16"/>
      <c r="V1" s="16"/>
      <c r="W1" s="16"/>
      <c r="X1" s="16"/>
      <c r="Y1" s="16"/>
      <c r="Z1" s="16"/>
      <c r="AA1" s="136"/>
      <c r="AB1" s="136"/>
      <c r="AC1" s="136"/>
      <c r="AD1" s="136"/>
      <c r="AE1" s="136"/>
      <c r="AF1" s="136"/>
      <c r="AG1" s="136"/>
      <c r="AH1" s="16"/>
      <c r="AI1" s="16"/>
      <c r="AJ1" s="16"/>
      <c r="AK1" s="16"/>
      <c r="AL1" s="16"/>
      <c r="AM1" s="16"/>
      <c r="AN1" s="16"/>
      <c r="AO1" s="16"/>
      <c r="AP1" s="16"/>
      <c r="AQ1" s="16"/>
      <c r="AR1" s="16"/>
      <c r="AS1" s="15"/>
      <c r="AT1" s="16"/>
    </row>
    <row r="2" spans="2:46" s="3" customFormat="1" ht="12.75" x14ac:dyDescent="0.2">
      <c r="B2" s="56" t="s">
        <v>7</v>
      </c>
      <c r="C2" s="16"/>
      <c r="D2" s="16"/>
      <c r="E2" s="16"/>
      <c r="F2" s="16"/>
      <c r="G2" s="16"/>
      <c r="H2" s="16"/>
      <c r="I2" s="16"/>
      <c r="J2" s="16"/>
      <c r="K2" s="16"/>
      <c r="L2" s="16"/>
      <c r="M2" s="16"/>
      <c r="N2" s="16"/>
      <c r="O2" s="16"/>
      <c r="P2" s="16"/>
      <c r="Q2" s="16"/>
      <c r="R2" s="16"/>
      <c r="S2" s="16"/>
      <c r="T2" s="16"/>
      <c r="U2" s="16"/>
      <c r="V2" s="16"/>
      <c r="W2" s="16"/>
      <c r="X2" s="16"/>
      <c r="Y2" s="16"/>
      <c r="Z2" s="16"/>
      <c r="AA2" s="136"/>
      <c r="AB2" s="136"/>
      <c r="AC2" s="136"/>
      <c r="AD2" s="136"/>
      <c r="AE2" s="136"/>
      <c r="AF2" s="136"/>
      <c r="AG2" s="136"/>
      <c r="AH2" s="16"/>
      <c r="AI2" s="16"/>
      <c r="AJ2" s="16"/>
      <c r="AK2" s="16"/>
      <c r="AL2" s="16"/>
      <c r="AM2" s="16"/>
      <c r="AN2" s="16"/>
      <c r="AO2" s="16"/>
      <c r="AP2" s="16"/>
      <c r="AQ2" s="16"/>
      <c r="AR2" s="16"/>
      <c r="AS2" s="16"/>
      <c r="AT2" s="16"/>
    </row>
    <row r="3" spans="2:46" s="3" customFormat="1" ht="12.75" x14ac:dyDescent="0.2">
      <c r="B3" s="70" t="s">
        <v>25</v>
      </c>
      <c r="C3" s="58"/>
      <c r="D3" s="16"/>
      <c r="E3" s="16"/>
      <c r="F3" s="16"/>
      <c r="G3" s="16"/>
      <c r="H3" s="16"/>
      <c r="I3" s="16"/>
      <c r="J3" s="16"/>
      <c r="K3" s="16"/>
      <c r="L3" s="16"/>
      <c r="M3" s="16"/>
      <c r="N3" s="16"/>
      <c r="O3" s="16"/>
      <c r="P3" s="16"/>
      <c r="Q3" s="16"/>
      <c r="R3" s="16"/>
      <c r="S3" s="16"/>
      <c r="T3" s="16"/>
      <c r="U3" s="16"/>
      <c r="V3" s="16"/>
      <c r="W3" s="16"/>
      <c r="X3" s="16"/>
      <c r="Y3" s="16"/>
      <c r="Z3" s="16"/>
      <c r="AA3" s="136"/>
      <c r="AB3" s="136"/>
      <c r="AC3" s="136"/>
      <c r="AD3" s="136"/>
      <c r="AE3" s="136"/>
      <c r="AF3" s="136"/>
      <c r="AG3" s="136"/>
      <c r="AH3" s="16"/>
      <c r="AI3" s="16"/>
      <c r="AJ3" s="16"/>
      <c r="AK3" s="16"/>
      <c r="AL3" s="16"/>
      <c r="AM3" s="16"/>
      <c r="AN3" s="16"/>
      <c r="AO3" s="16"/>
      <c r="AP3" s="16"/>
      <c r="AQ3" s="16"/>
      <c r="AR3" s="16"/>
      <c r="AS3" s="16"/>
      <c r="AT3" s="16"/>
    </row>
    <row r="4" spans="2:46" s="3" customFormat="1" ht="12.75" x14ac:dyDescent="0.2">
      <c r="B4" s="56" t="s">
        <v>8</v>
      </c>
      <c r="C4" s="16"/>
      <c r="D4" s="18"/>
      <c r="E4" s="18"/>
      <c r="F4" s="18"/>
      <c r="G4" s="18"/>
      <c r="H4" s="18"/>
      <c r="I4" s="18"/>
      <c r="J4" s="18"/>
      <c r="K4" s="18"/>
      <c r="L4" s="18"/>
      <c r="M4" s="18"/>
      <c r="N4" s="18"/>
      <c r="O4" s="18"/>
      <c r="P4" s="18"/>
      <c r="Q4" s="18"/>
      <c r="R4" s="18"/>
      <c r="S4" s="18"/>
      <c r="T4" s="18"/>
      <c r="U4" s="18"/>
      <c r="V4" s="18"/>
      <c r="W4" s="18"/>
      <c r="X4" s="18"/>
      <c r="Y4" s="18"/>
      <c r="Z4" s="18"/>
      <c r="AA4" s="137"/>
      <c r="AB4" s="137"/>
      <c r="AC4" s="137"/>
      <c r="AD4" s="137"/>
      <c r="AE4" s="137"/>
      <c r="AF4" s="137"/>
      <c r="AG4" s="137"/>
      <c r="AH4" s="18"/>
      <c r="AI4" s="18"/>
      <c r="AJ4" s="18"/>
      <c r="AK4" s="18"/>
      <c r="AL4" s="18"/>
      <c r="AM4" s="18"/>
      <c r="AN4" s="18"/>
      <c r="AO4" s="18"/>
      <c r="AP4" s="18"/>
      <c r="AQ4" s="18"/>
      <c r="AR4" s="18"/>
      <c r="AS4" s="16"/>
      <c r="AT4" s="16"/>
    </row>
    <row r="5" spans="2:46" s="3" customFormat="1" ht="12.75" x14ac:dyDescent="0.2">
      <c r="B5" s="70" t="s">
        <v>30</v>
      </c>
      <c r="C5" s="58"/>
      <c r="D5" s="19"/>
      <c r="E5" s="19"/>
      <c r="F5" s="19"/>
      <c r="G5" s="19"/>
      <c r="H5" s="19"/>
      <c r="I5" s="19"/>
      <c r="J5" s="19"/>
      <c r="K5" s="19"/>
      <c r="L5" s="19"/>
      <c r="M5" s="19"/>
      <c r="N5" s="19"/>
      <c r="O5" s="19"/>
      <c r="P5" s="19"/>
      <c r="Q5" s="19"/>
      <c r="R5" s="19"/>
      <c r="S5" s="19"/>
      <c r="T5" s="19"/>
      <c r="U5" s="19"/>
      <c r="V5" s="19"/>
      <c r="W5" s="19"/>
      <c r="X5" s="19"/>
      <c r="Y5" s="19"/>
      <c r="Z5" s="19"/>
      <c r="AA5" s="138"/>
      <c r="AB5" s="138"/>
      <c r="AC5" s="138"/>
      <c r="AD5" s="138"/>
      <c r="AE5" s="138"/>
      <c r="AF5" s="138"/>
      <c r="AG5" s="138"/>
      <c r="AH5" s="19"/>
      <c r="AI5" s="19"/>
      <c r="AJ5" s="19"/>
      <c r="AK5" s="19"/>
      <c r="AL5" s="19"/>
      <c r="AM5" s="19"/>
      <c r="AN5" s="19"/>
      <c r="AO5" s="19"/>
      <c r="AP5" s="19"/>
      <c r="AQ5" s="19"/>
      <c r="AR5" s="19"/>
      <c r="AS5" s="58"/>
      <c r="AT5" s="58"/>
    </row>
    <row r="6" spans="2:46" s="3" customFormat="1" ht="12.75" x14ac:dyDescent="0.2">
      <c r="B6" s="56" t="s">
        <v>9</v>
      </c>
      <c r="C6" s="16"/>
      <c r="D6" s="18"/>
      <c r="E6" s="62">
        <v>43101</v>
      </c>
      <c r="F6" s="72"/>
      <c r="G6" s="72"/>
      <c r="H6" s="72"/>
      <c r="I6" s="72"/>
      <c r="J6" s="72"/>
      <c r="K6" s="72"/>
      <c r="L6" s="72"/>
      <c r="M6" s="72"/>
      <c r="N6" s="72"/>
      <c r="O6" s="72"/>
      <c r="P6" s="72"/>
      <c r="Q6" s="72"/>
      <c r="R6" s="72"/>
      <c r="S6" s="72"/>
      <c r="T6" s="72"/>
      <c r="U6" s="72"/>
      <c r="V6" s="18"/>
      <c r="W6" s="18"/>
      <c r="X6" s="18"/>
      <c r="Y6" s="72"/>
      <c r="Z6" s="72"/>
      <c r="AA6" s="139"/>
      <c r="AB6" s="139"/>
      <c r="AC6" s="139"/>
      <c r="AD6" s="139"/>
      <c r="AE6" s="139"/>
      <c r="AF6" s="139"/>
      <c r="AG6" s="139"/>
      <c r="AH6" s="72"/>
      <c r="AI6" s="72"/>
      <c r="AJ6" s="72"/>
      <c r="AK6" s="580">
        <f>'Preferred OBC PV'!$V$28</f>
        <v>35419.771353255339</v>
      </c>
      <c r="AL6" s="72"/>
      <c r="AM6" s="72"/>
      <c r="AN6" s="72"/>
      <c r="AO6" s="72"/>
      <c r="AP6" s="72"/>
      <c r="AQ6" s="72"/>
      <c r="AR6" s="72"/>
      <c r="AS6" s="16"/>
      <c r="AT6" s="16"/>
    </row>
    <row r="7" spans="2:46" s="3" customFormat="1" ht="12.75" x14ac:dyDescent="0.2">
      <c r="B7" s="61" t="s">
        <v>10</v>
      </c>
      <c r="C7" s="16"/>
      <c r="D7" s="18"/>
      <c r="E7" s="60" t="s">
        <v>29</v>
      </c>
      <c r="F7" s="72"/>
      <c r="G7" s="72"/>
      <c r="H7" s="72"/>
      <c r="I7" s="72"/>
      <c r="J7" s="72"/>
      <c r="K7" s="72"/>
      <c r="L7" s="72"/>
      <c r="M7" s="72"/>
      <c r="N7" s="72"/>
      <c r="O7" s="72"/>
      <c r="P7" s="72"/>
      <c r="Q7" s="72"/>
      <c r="R7" s="72"/>
      <c r="S7" s="72"/>
      <c r="T7" s="72"/>
      <c r="U7" s="72"/>
      <c r="V7" s="18"/>
      <c r="W7" s="18"/>
      <c r="X7" s="18"/>
      <c r="Y7" s="72"/>
      <c r="Z7" s="72"/>
      <c r="AA7" s="72"/>
      <c r="AB7" s="72"/>
      <c r="AC7" s="72"/>
      <c r="AD7" s="72"/>
      <c r="AE7" s="72"/>
      <c r="AF7" s="72"/>
      <c r="AG7" s="72"/>
      <c r="AH7" s="72"/>
      <c r="AI7" s="72"/>
      <c r="AJ7" s="72"/>
      <c r="AK7" s="72"/>
      <c r="AL7" s="72"/>
      <c r="AM7" s="72"/>
      <c r="AN7" s="72"/>
      <c r="AO7" s="72"/>
      <c r="AP7" s="72"/>
      <c r="AQ7" s="72"/>
      <c r="AR7" s="72"/>
      <c r="AS7" s="16"/>
      <c r="AT7" s="16"/>
    </row>
    <row r="8" spans="2:46" s="3" customFormat="1" ht="12.75" x14ac:dyDescent="0.2">
      <c r="B8" s="61" t="s">
        <v>11</v>
      </c>
      <c r="C8" s="16"/>
      <c r="D8" s="63"/>
      <c r="E8" s="65">
        <v>3.5000000000000003E-2</v>
      </c>
      <c r="F8" s="73"/>
      <c r="G8" s="73"/>
      <c r="H8" s="73"/>
      <c r="I8" s="73"/>
      <c r="J8" s="73"/>
      <c r="K8" s="73"/>
      <c r="L8" s="73"/>
      <c r="M8" s="73"/>
      <c r="N8" s="73"/>
      <c r="O8" s="73"/>
      <c r="P8" s="73"/>
      <c r="Q8" s="73"/>
      <c r="R8" s="73"/>
      <c r="S8" s="73"/>
      <c r="T8" s="73"/>
      <c r="U8" s="73"/>
      <c r="V8" s="63"/>
      <c r="W8" s="63"/>
      <c r="X8" s="18"/>
      <c r="Y8" s="73"/>
      <c r="Z8" s="73"/>
      <c r="AA8" s="73"/>
      <c r="AB8" s="73"/>
      <c r="AC8" s="73"/>
      <c r="AD8" s="73"/>
      <c r="AE8" s="73"/>
      <c r="AF8" s="73"/>
      <c r="AG8" s="73"/>
      <c r="AH8" s="73"/>
      <c r="AI8" s="73"/>
      <c r="AJ8" s="73"/>
      <c r="AK8" s="73"/>
      <c r="AL8" s="73"/>
      <c r="AM8" s="73"/>
      <c r="AN8" s="73"/>
      <c r="AO8" s="73"/>
      <c r="AP8" s="73"/>
      <c r="AQ8" s="73"/>
      <c r="AR8" s="73"/>
      <c r="AS8" s="16"/>
      <c r="AT8" s="16"/>
    </row>
    <row r="9" spans="2:46" s="3" customFormat="1" ht="13.5" thickBot="1" x14ac:dyDescent="0.25">
      <c r="B9" s="64" t="s">
        <v>12</v>
      </c>
      <c r="C9" s="57"/>
      <c r="D9" s="67"/>
      <c r="E9" s="74"/>
      <c r="F9" s="74"/>
      <c r="G9" s="74"/>
      <c r="H9" s="74"/>
      <c r="I9" s="74"/>
      <c r="J9" s="74"/>
      <c r="K9" s="74"/>
      <c r="L9" s="74"/>
      <c r="M9" s="74"/>
      <c r="N9" s="74"/>
      <c r="O9" s="74"/>
      <c r="P9" s="74"/>
      <c r="Q9" s="74"/>
      <c r="R9" s="74"/>
      <c r="S9" s="74"/>
      <c r="T9" s="74"/>
      <c r="U9" s="74"/>
      <c r="V9" s="67"/>
      <c r="W9" s="67"/>
      <c r="X9" s="67"/>
      <c r="Y9" s="74"/>
      <c r="Z9" s="436"/>
      <c r="AA9" s="74"/>
      <c r="AB9" s="74"/>
      <c r="AC9" s="74"/>
      <c r="AD9" s="74"/>
      <c r="AE9" s="74"/>
      <c r="AF9" s="74"/>
      <c r="AG9" s="74"/>
      <c r="AH9" s="19"/>
      <c r="AI9" s="19"/>
      <c r="AJ9" s="19"/>
      <c r="AK9" s="19"/>
      <c r="AL9" s="19"/>
      <c r="AM9" s="19"/>
      <c r="AN9" s="19"/>
      <c r="AO9" s="19"/>
      <c r="AP9" s="19"/>
      <c r="AQ9" s="19"/>
      <c r="AR9" s="19"/>
      <c r="AS9" s="16"/>
      <c r="AT9" s="16"/>
    </row>
    <row r="10" spans="2:46" s="3" customFormat="1" ht="12.75" x14ac:dyDescent="0.2">
      <c r="B10" s="4"/>
      <c r="C10" s="2"/>
      <c r="D10" s="96" t="s">
        <v>309</v>
      </c>
      <c r="E10" s="677" t="str">
        <f>'Construction Costs_2022'!B116</f>
        <v>One Offshore Breakwater</v>
      </c>
      <c r="F10" s="677"/>
      <c r="G10" s="677"/>
      <c r="H10" s="677"/>
      <c r="I10" s="677"/>
      <c r="J10" s="677"/>
      <c r="K10" s="677"/>
      <c r="L10" s="677"/>
      <c r="M10" s="677"/>
      <c r="N10" s="677"/>
      <c r="O10" s="677"/>
      <c r="P10" s="677"/>
      <c r="Q10" s="677"/>
      <c r="R10" s="677"/>
      <c r="S10" s="677"/>
      <c r="T10" s="677"/>
      <c r="U10" s="677"/>
      <c r="V10" s="677"/>
      <c r="W10" s="579"/>
      <c r="X10" s="77"/>
      <c r="Y10" s="21" t="s">
        <v>13</v>
      </c>
      <c r="Z10" s="22" t="s">
        <v>14</v>
      </c>
      <c r="AA10" s="22" t="s">
        <v>14</v>
      </c>
      <c r="AB10" s="22"/>
      <c r="AC10" s="22"/>
      <c r="AD10" s="22"/>
      <c r="AE10" s="22"/>
      <c r="AF10" s="22"/>
      <c r="AG10" s="22"/>
      <c r="AH10" s="22"/>
      <c r="AI10" s="22"/>
      <c r="AJ10" s="22"/>
      <c r="AK10" s="22"/>
      <c r="AL10" s="22"/>
      <c r="AM10" s="22"/>
      <c r="AN10" s="22"/>
      <c r="AO10" s="22"/>
      <c r="AP10" s="22"/>
      <c r="AQ10" s="22"/>
      <c r="AR10" s="22"/>
      <c r="AS10" s="22" t="s">
        <v>14</v>
      </c>
      <c r="AT10" s="23" t="s">
        <v>14</v>
      </c>
    </row>
    <row r="11" spans="2:46" s="3" customFormat="1" ht="12.75" x14ac:dyDescent="0.2">
      <c r="B11" s="4"/>
      <c r="C11" s="2"/>
      <c r="D11" s="247"/>
      <c r="E11" s="248"/>
      <c r="F11" s="248"/>
      <c r="G11" s="248"/>
      <c r="H11" s="248"/>
      <c r="I11" s="248"/>
      <c r="J11" s="248"/>
      <c r="K11" s="248"/>
      <c r="L11" s="248"/>
      <c r="M11" s="248"/>
      <c r="N11" s="248"/>
      <c r="O11" s="248"/>
      <c r="P11" s="248"/>
      <c r="Q11" s="248"/>
      <c r="R11" s="248"/>
      <c r="S11" s="248"/>
      <c r="T11" s="248"/>
      <c r="U11" s="248"/>
      <c r="V11" s="248"/>
      <c r="W11" s="248"/>
      <c r="X11" s="79"/>
      <c r="Y11" s="75"/>
      <c r="Z11" s="54"/>
      <c r="AA11" s="54"/>
      <c r="AB11" s="54"/>
      <c r="AC11" s="54"/>
      <c r="AD11" s="54"/>
      <c r="AE11" s="54"/>
      <c r="AF11" s="54"/>
      <c r="AG11" s="54"/>
      <c r="AH11" s="54"/>
      <c r="AI11" s="54"/>
      <c r="AJ11" s="54"/>
      <c r="AK11" s="54"/>
      <c r="AL11" s="54"/>
      <c r="AM11" s="54"/>
      <c r="AN11" s="54"/>
      <c r="AO11" s="54"/>
      <c r="AP11" s="54"/>
      <c r="AQ11" s="54"/>
      <c r="AR11" s="54"/>
      <c r="AS11" s="54"/>
      <c r="AT11" s="76"/>
    </row>
    <row r="12" spans="2:46" s="3" customFormat="1" ht="12.75" x14ac:dyDescent="0.2">
      <c r="B12" s="4"/>
      <c r="C12" s="2"/>
      <c r="D12" s="78"/>
      <c r="E12" s="80"/>
      <c r="F12" s="80"/>
      <c r="G12" s="80"/>
      <c r="H12" s="80"/>
      <c r="I12" s="80"/>
      <c r="J12" s="80"/>
      <c r="K12" s="80"/>
      <c r="L12" s="80"/>
      <c r="M12" s="80"/>
      <c r="N12" s="80"/>
      <c r="O12" s="80"/>
      <c r="P12" s="80"/>
      <c r="Q12" s="80"/>
      <c r="R12" s="80"/>
      <c r="S12" s="80"/>
      <c r="T12" s="80"/>
      <c r="U12" s="80" t="s">
        <v>124</v>
      </c>
      <c r="V12" s="81">
        <f>'Construction Costs_2022'!BQ65</f>
        <v>0</v>
      </c>
      <c r="W12" s="81"/>
      <c r="X12" s="79"/>
      <c r="Y12" s="75"/>
      <c r="Z12" s="54"/>
      <c r="AA12" s="54"/>
      <c r="AB12" s="54"/>
      <c r="AC12" s="54"/>
      <c r="AD12" s="54"/>
      <c r="AE12" s="54"/>
      <c r="AF12" s="54"/>
      <c r="AG12" s="54"/>
      <c r="AH12" s="54"/>
      <c r="AI12" s="54"/>
      <c r="AJ12" s="54"/>
      <c r="AK12" s="54"/>
      <c r="AL12" s="54"/>
      <c r="AM12" s="54"/>
      <c r="AN12" s="54"/>
      <c r="AO12" s="54"/>
      <c r="AP12" s="54"/>
      <c r="AQ12" s="54"/>
      <c r="AR12" s="54"/>
      <c r="AS12" s="54"/>
      <c r="AT12" s="76"/>
    </row>
    <row r="13" spans="2:46" s="3" customFormat="1" ht="12.75" x14ac:dyDescent="0.2">
      <c r="B13" s="4"/>
      <c r="C13" s="2"/>
      <c r="D13" s="78"/>
      <c r="E13" s="80"/>
      <c r="F13" s="80"/>
      <c r="G13" s="80"/>
      <c r="H13" s="80"/>
      <c r="I13" s="80"/>
      <c r="J13" s="80"/>
      <c r="K13" s="80"/>
      <c r="L13" s="80"/>
      <c r="M13" s="80"/>
      <c r="N13" s="80"/>
      <c r="O13" s="80"/>
      <c r="P13" s="80"/>
      <c r="Q13" s="80"/>
      <c r="R13" s="80"/>
      <c r="S13" s="80"/>
      <c r="T13" s="80"/>
      <c r="U13" s="80" t="s">
        <v>119</v>
      </c>
      <c r="V13" s="81">
        <f>'Construction Costs_2022'!F130</f>
        <v>10</v>
      </c>
      <c r="W13" s="81"/>
      <c r="X13" s="79">
        <f>'Construction Costs_2022'!J130</f>
        <v>28000</v>
      </c>
      <c r="Y13" s="75"/>
      <c r="Z13" s="54"/>
      <c r="AA13" s="54"/>
      <c r="AB13" s="54"/>
      <c r="AC13" s="54"/>
      <c r="AD13" s="54"/>
      <c r="AE13" s="54"/>
      <c r="AF13" s="54"/>
      <c r="AG13" s="54"/>
      <c r="AH13" s="54"/>
      <c r="AI13" s="54"/>
      <c r="AJ13" s="54"/>
      <c r="AK13" s="54"/>
      <c r="AL13" s="54"/>
      <c r="AM13" s="54"/>
      <c r="AN13" s="54"/>
      <c r="AO13" s="54"/>
      <c r="AP13" s="54"/>
      <c r="AQ13" s="54"/>
      <c r="AR13" s="54"/>
      <c r="AS13" s="54"/>
      <c r="AT13" s="76"/>
    </row>
    <row r="14" spans="2:46" s="3" customFormat="1" ht="12.75" x14ac:dyDescent="0.2">
      <c r="B14" s="4"/>
      <c r="C14" s="2"/>
      <c r="D14" s="78"/>
      <c r="E14" s="80"/>
      <c r="F14" s="80"/>
      <c r="G14" s="80"/>
      <c r="H14" s="80"/>
      <c r="I14" s="80"/>
      <c r="J14" s="80"/>
      <c r="K14" s="80"/>
      <c r="L14" s="80"/>
      <c r="M14" s="80"/>
      <c r="N14" s="80"/>
      <c r="O14" s="80"/>
      <c r="P14" s="80"/>
      <c r="Q14" s="80"/>
      <c r="R14" s="80"/>
      <c r="S14" s="80"/>
      <c r="T14" s="80"/>
      <c r="U14" s="89" t="str">
        <f>'Construction Costs_2022'!E131</f>
        <v>Replacement to demountable defences</v>
      </c>
      <c r="V14" s="81">
        <f>'Construction Costs_2022'!F131</f>
        <v>50</v>
      </c>
      <c r="W14" s="81"/>
      <c r="X14" s="79">
        <f>'Construction Costs_2022'!J131</f>
        <v>27000</v>
      </c>
      <c r="Y14" s="75"/>
      <c r="Z14" s="54"/>
      <c r="AA14" s="54"/>
      <c r="AB14" s="54"/>
      <c r="AC14" s="54"/>
      <c r="AD14" s="54"/>
      <c r="AE14" s="54"/>
      <c r="AF14" s="54"/>
      <c r="AG14" s="54"/>
      <c r="AH14" s="54"/>
      <c r="AI14" s="54"/>
      <c r="AJ14" s="54"/>
      <c r="AK14" s="54"/>
      <c r="AL14" s="54"/>
      <c r="AM14" s="54"/>
      <c r="AN14" s="54"/>
      <c r="AO14" s="54"/>
      <c r="AP14" s="54"/>
      <c r="AQ14" s="54"/>
      <c r="AR14" s="54"/>
      <c r="AS14" s="54"/>
      <c r="AT14" s="76"/>
    </row>
    <row r="15" spans="2:46" s="3" customFormat="1" ht="12.75" x14ac:dyDescent="0.2">
      <c r="B15" s="4"/>
      <c r="C15" s="2"/>
      <c r="D15" s="78"/>
      <c r="E15" s="80"/>
      <c r="F15" s="80"/>
      <c r="G15" s="80"/>
      <c r="H15" s="80"/>
      <c r="I15" s="80"/>
      <c r="J15" s="80"/>
      <c r="K15" s="80"/>
      <c r="L15" s="80"/>
      <c r="M15" s="80"/>
      <c r="N15" s="80"/>
      <c r="O15" s="80"/>
      <c r="P15" s="80"/>
      <c r="Q15" s="80"/>
      <c r="R15" s="80"/>
      <c r="S15" s="80"/>
      <c r="T15" s="80"/>
      <c r="U15" s="89" t="str">
        <f>'Construction Costs_2022'!E132</f>
        <v>Maintenance to demountable defences</v>
      </c>
      <c r="V15" s="81">
        <f>'Construction Costs_2022'!F132</f>
        <v>10</v>
      </c>
      <c r="W15" s="81"/>
      <c r="X15" s="79">
        <f>'Construction Costs_2022'!J132</f>
        <v>1000</v>
      </c>
      <c r="Y15" s="75"/>
      <c r="Z15" s="54"/>
      <c r="AA15" s="54"/>
      <c r="AB15" s="54"/>
      <c r="AC15" s="54"/>
      <c r="AD15" s="54"/>
      <c r="AE15" s="54"/>
      <c r="AF15" s="54"/>
      <c r="AG15" s="54"/>
      <c r="AH15" s="54"/>
      <c r="AI15" s="54"/>
      <c r="AJ15" s="54"/>
      <c r="AK15" s="54"/>
      <c r="AL15" s="54"/>
      <c r="AM15" s="54"/>
      <c r="AN15" s="54"/>
      <c r="AO15" s="54"/>
      <c r="AP15" s="54"/>
      <c r="AQ15" s="54"/>
      <c r="AR15" s="54"/>
      <c r="AS15" s="54"/>
      <c r="AT15" s="76"/>
    </row>
    <row r="16" spans="2:46" s="3" customFormat="1" ht="12.75" x14ac:dyDescent="0.2">
      <c r="B16" s="4"/>
      <c r="C16" s="2"/>
      <c r="D16" s="78"/>
      <c r="E16" s="80"/>
      <c r="F16" s="80"/>
      <c r="G16" s="80"/>
      <c r="H16" s="80"/>
      <c r="I16" s="80"/>
      <c r="J16" s="80"/>
      <c r="K16" s="80"/>
      <c r="L16" s="80"/>
      <c r="M16" s="80"/>
      <c r="N16" s="80"/>
      <c r="O16" s="80"/>
      <c r="P16" s="80"/>
      <c r="Q16" s="80"/>
      <c r="R16" s="80"/>
      <c r="S16" s="80"/>
      <c r="T16" s="80"/>
      <c r="U16" s="89" t="s">
        <v>394</v>
      </c>
      <c r="V16" s="81">
        <v>1</v>
      </c>
      <c r="W16" s="81"/>
      <c r="X16" s="79">
        <f>1*3*8*25</f>
        <v>600</v>
      </c>
      <c r="Y16" s="75"/>
      <c r="Z16" s="54"/>
      <c r="AA16" s="54"/>
      <c r="AB16" s="54"/>
      <c r="AC16" s="54"/>
      <c r="AD16" s="54"/>
      <c r="AE16" s="54"/>
      <c r="AF16" s="54"/>
      <c r="AG16" s="54"/>
      <c r="AH16" s="54"/>
      <c r="AI16" s="54"/>
      <c r="AJ16" s="54"/>
      <c r="AK16" s="54"/>
      <c r="AL16" s="54"/>
      <c r="AM16" s="54"/>
      <c r="AN16" s="54"/>
      <c r="AO16" s="54"/>
      <c r="AP16" s="54"/>
      <c r="AQ16" s="54"/>
      <c r="AR16" s="54"/>
      <c r="AS16" s="54"/>
      <c r="AT16" s="76"/>
    </row>
    <row r="17" spans="1:50" s="3" customFormat="1" ht="12.75" x14ac:dyDescent="0.2">
      <c r="B17" s="4"/>
      <c r="C17" s="2"/>
      <c r="D17" s="78"/>
      <c r="E17" s="80"/>
      <c r="F17" s="80"/>
      <c r="G17" s="80"/>
      <c r="H17" s="80"/>
      <c r="I17" s="80"/>
      <c r="J17" s="80"/>
      <c r="K17" s="80"/>
      <c r="L17" s="80"/>
      <c r="M17" s="80"/>
      <c r="N17" s="80"/>
      <c r="O17" s="80"/>
      <c r="P17" s="80"/>
      <c r="Q17" s="80"/>
      <c r="R17" s="80"/>
      <c r="S17" s="80"/>
      <c r="T17" s="80"/>
      <c r="U17" s="80" t="s">
        <v>120</v>
      </c>
      <c r="V17" s="81">
        <f>'Construction Costs_2022'!F133</f>
        <v>10</v>
      </c>
      <c r="W17" s="81"/>
      <c r="X17" s="79">
        <f>'Construction Costs_2022'!J133</f>
        <v>86130</v>
      </c>
      <c r="Y17" s="75"/>
      <c r="Z17" s="54"/>
      <c r="AA17" s="54"/>
      <c r="AB17" s="54"/>
      <c r="AC17" s="54"/>
      <c r="AD17" s="54"/>
      <c r="AE17" s="54"/>
      <c r="AF17" s="54"/>
      <c r="AG17" s="54"/>
      <c r="AH17" s="54"/>
      <c r="AI17" s="54"/>
      <c r="AJ17" s="54"/>
      <c r="AK17" s="54"/>
      <c r="AL17" s="54"/>
      <c r="AM17" s="54"/>
      <c r="AN17" s="54"/>
      <c r="AO17" s="54"/>
      <c r="AP17" s="54"/>
      <c r="AQ17" s="54"/>
      <c r="AR17" s="54"/>
      <c r="AS17" s="54"/>
      <c r="AT17" s="76"/>
    </row>
    <row r="18" spans="1:50" s="3" customFormat="1" ht="12.75" x14ac:dyDescent="0.2">
      <c r="B18" s="4"/>
      <c r="C18" s="2"/>
      <c r="D18" s="78"/>
      <c r="E18" s="80"/>
      <c r="F18" s="80"/>
      <c r="G18" s="80"/>
      <c r="H18" s="80"/>
      <c r="I18" s="80"/>
      <c r="J18" s="80"/>
      <c r="K18" s="80"/>
      <c r="L18" s="80"/>
      <c r="M18" s="80"/>
      <c r="N18" s="80"/>
      <c r="O18" s="80"/>
      <c r="P18" s="80"/>
      <c r="Q18" s="80"/>
      <c r="R18" s="80"/>
      <c r="S18" s="80"/>
      <c r="T18" s="80"/>
      <c r="U18" s="80" t="s">
        <v>121</v>
      </c>
      <c r="V18" s="81">
        <f>'Construction Costs_2022'!F134</f>
        <v>5</v>
      </c>
      <c r="W18" s="81"/>
      <c r="X18" s="79">
        <f>'Construction Costs_2022'!J134</f>
        <v>86400</v>
      </c>
      <c r="Y18" s="75"/>
      <c r="Z18" s="54"/>
      <c r="AA18" s="54"/>
      <c r="AB18" s="54"/>
      <c r="AC18" s="54"/>
      <c r="AD18" s="54"/>
      <c r="AE18" s="54"/>
      <c r="AF18" s="54"/>
      <c r="AG18" s="54"/>
      <c r="AH18" s="54"/>
      <c r="AI18" s="54"/>
      <c r="AJ18" s="54"/>
      <c r="AK18" s="54"/>
      <c r="AL18" s="54"/>
      <c r="AM18" s="54"/>
      <c r="AN18" s="54"/>
      <c r="AO18" s="54"/>
      <c r="AP18" s="54"/>
      <c r="AQ18" s="54"/>
      <c r="AR18" s="54"/>
      <c r="AS18" s="54"/>
      <c r="AT18" s="76"/>
    </row>
    <row r="19" spans="1:50" s="3" customFormat="1" ht="12.75" x14ac:dyDescent="0.2">
      <c r="B19" s="4"/>
      <c r="C19" s="2"/>
      <c r="D19" s="78"/>
      <c r="E19" s="80"/>
      <c r="F19" s="80"/>
      <c r="G19" s="80"/>
      <c r="H19" s="80"/>
      <c r="I19" s="80"/>
      <c r="J19" s="80"/>
      <c r="K19" s="80"/>
      <c r="L19" s="80"/>
      <c r="M19" s="80"/>
      <c r="N19" s="80"/>
      <c r="O19" s="80"/>
      <c r="P19" s="80"/>
      <c r="Q19" s="80"/>
      <c r="R19" s="80"/>
      <c r="S19" s="80"/>
      <c r="T19" s="80"/>
      <c r="U19" s="80" t="s">
        <v>122</v>
      </c>
      <c r="V19" s="81">
        <v>100</v>
      </c>
      <c r="W19" s="81"/>
      <c r="X19" s="79">
        <v>0</v>
      </c>
      <c r="Y19" s="75"/>
      <c r="Z19" s="54"/>
      <c r="AA19" s="54"/>
      <c r="AB19" s="54"/>
      <c r="AC19" s="54"/>
      <c r="AD19" s="54"/>
      <c r="AE19" s="54"/>
      <c r="AF19" s="54"/>
      <c r="AG19" s="54"/>
      <c r="AH19" s="54"/>
      <c r="AI19" s="54"/>
      <c r="AJ19" s="54"/>
      <c r="AK19" s="54"/>
      <c r="AL19" s="54"/>
      <c r="AM19" s="54"/>
      <c r="AN19" s="54"/>
      <c r="AO19" s="54"/>
      <c r="AP19" s="54"/>
      <c r="AQ19" s="54"/>
      <c r="AR19" s="54"/>
      <c r="AS19" s="54"/>
      <c r="AT19" s="76"/>
    </row>
    <row r="20" spans="1:50" s="3" customFormat="1" ht="12.75" x14ac:dyDescent="0.2">
      <c r="B20" s="4"/>
      <c r="C20" s="2"/>
      <c r="D20" s="78"/>
      <c r="E20" s="80"/>
      <c r="F20" s="80"/>
      <c r="G20" s="80"/>
      <c r="H20" s="80"/>
      <c r="I20" s="80"/>
      <c r="J20" s="80"/>
      <c r="K20" s="80"/>
      <c r="L20" s="80"/>
      <c r="M20" s="80"/>
      <c r="N20" s="80"/>
      <c r="O20" s="80"/>
      <c r="P20" s="80"/>
      <c r="Q20" s="80"/>
      <c r="R20" s="80"/>
      <c r="S20" s="80"/>
      <c r="T20" s="80"/>
      <c r="U20" s="80" t="s">
        <v>123</v>
      </c>
      <c r="V20" s="81">
        <f>'Construction Costs_2022'!F135</f>
        <v>30</v>
      </c>
      <c r="W20" s="81"/>
      <c r="X20" s="79">
        <f>'Construction Costs_2022'!J135</f>
        <v>100000</v>
      </c>
      <c r="Y20" s="75"/>
      <c r="Z20" s="54"/>
      <c r="AA20" s="54"/>
      <c r="AB20" s="54"/>
      <c r="AC20" s="54"/>
      <c r="AD20" s="54"/>
      <c r="AE20" s="54"/>
      <c r="AF20" s="54"/>
      <c r="AG20" s="54"/>
      <c r="AH20" s="54"/>
      <c r="AI20" s="54"/>
      <c r="AJ20" s="54"/>
      <c r="AK20" s="54"/>
      <c r="AL20" s="54"/>
      <c r="AM20" s="54"/>
      <c r="AN20" s="54"/>
      <c r="AO20" s="54"/>
      <c r="AP20" s="54"/>
      <c r="AQ20" s="54"/>
      <c r="AR20" s="54"/>
      <c r="AS20" s="54"/>
      <c r="AT20" s="76"/>
    </row>
    <row r="21" spans="1:50" s="3" customFormat="1" ht="12.75" x14ac:dyDescent="0.2">
      <c r="B21" s="4"/>
      <c r="C21" s="2"/>
      <c r="D21" s="78"/>
      <c r="E21" s="80"/>
      <c r="F21" s="80"/>
      <c r="G21" s="80"/>
      <c r="H21" s="80"/>
      <c r="I21" s="80"/>
      <c r="J21" s="80"/>
      <c r="K21" s="80"/>
      <c r="L21" s="80"/>
      <c r="M21" s="80"/>
      <c r="N21" s="80"/>
      <c r="O21" s="80"/>
      <c r="P21" s="80"/>
      <c r="Q21" s="80"/>
      <c r="R21" s="80"/>
      <c r="S21" s="80"/>
      <c r="T21" s="80"/>
      <c r="U21" s="80" t="s">
        <v>31</v>
      </c>
      <c r="V21" s="81">
        <v>3</v>
      </c>
      <c r="W21" s="81"/>
      <c r="X21" s="79"/>
      <c r="Y21" s="75"/>
      <c r="Z21" s="54"/>
      <c r="AA21" s="54"/>
      <c r="AB21" s="54"/>
      <c r="AC21" s="54"/>
      <c r="AD21" s="54"/>
      <c r="AE21" s="54"/>
      <c r="AF21" s="54"/>
      <c r="AG21" s="54"/>
      <c r="AH21" s="54"/>
      <c r="AI21" s="54"/>
      <c r="AJ21" s="54"/>
      <c r="AK21" s="54"/>
      <c r="AL21" s="54"/>
      <c r="AM21" s="54"/>
      <c r="AN21" s="54"/>
      <c r="AO21" s="54"/>
      <c r="AP21" s="54"/>
      <c r="AQ21" s="54"/>
      <c r="AR21" s="54"/>
      <c r="AS21" s="54"/>
      <c r="AT21" s="76"/>
    </row>
    <row r="22" spans="1:50" s="360" customFormat="1" ht="114" customHeight="1" thickBot="1" x14ac:dyDescent="0.3">
      <c r="B22" s="354"/>
      <c r="C22" s="355"/>
      <c r="D22" s="361" t="s">
        <v>177</v>
      </c>
      <c r="E22" s="358" t="s">
        <v>16</v>
      </c>
      <c r="F22" s="358" t="s">
        <v>165</v>
      </c>
      <c r="G22" s="358" t="s">
        <v>166</v>
      </c>
      <c r="H22" s="358" t="s">
        <v>167</v>
      </c>
      <c r="I22" s="358" t="s">
        <v>162</v>
      </c>
      <c r="J22" s="358" t="s">
        <v>1</v>
      </c>
      <c r="K22" s="358" t="s">
        <v>2</v>
      </c>
      <c r="L22" s="366"/>
      <c r="M22" s="358" t="s">
        <v>175</v>
      </c>
      <c r="N22" s="358" t="s">
        <v>170</v>
      </c>
      <c r="O22" s="358" t="s">
        <v>171</v>
      </c>
      <c r="P22" s="358" t="s">
        <v>165</v>
      </c>
      <c r="Q22" s="358" t="s">
        <v>161</v>
      </c>
      <c r="R22" s="358" t="s">
        <v>162</v>
      </c>
      <c r="S22" s="358" t="s">
        <v>172</v>
      </c>
      <c r="T22" s="358" t="s">
        <v>173</v>
      </c>
      <c r="U22" s="358" t="s">
        <v>174</v>
      </c>
      <c r="V22" s="358" t="s">
        <v>337</v>
      </c>
      <c r="W22" s="358" t="s">
        <v>339</v>
      </c>
      <c r="X22" s="358" t="s">
        <v>18</v>
      </c>
      <c r="Y22" s="361" t="s">
        <v>19</v>
      </c>
      <c r="Z22" s="358" t="s">
        <v>15</v>
      </c>
      <c r="AA22" s="358" t="s">
        <v>20</v>
      </c>
      <c r="AB22" s="358" t="s">
        <v>165</v>
      </c>
      <c r="AC22" s="358" t="s">
        <v>166</v>
      </c>
      <c r="AD22" s="358" t="s">
        <v>167</v>
      </c>
      <c r="AE22" s="358" t="s">
        <v>162</v>
      </c>
      <c r="AF22" s="358" t="s">
        <v>163</v>
      </c>
      <c r="AG22" s="358" t="s">
        <v>164</v>
      </c>
      <c r="AH22" s="358" t="s">
        <v>168</v>
      </c>
      <c r="AI22" s="358" t="s">
        <v>169</v>
      </c>
      <c r="AJ22" s="358" t="s">
        <v>170</v>
      </c>
      <c r="AK22" s="358" t="s">
        <v>171</v>
      </c>
      <c r="AL22" s="358" t="s">
        <v>165</v>
      </c>
      <c r="AM22" s="358" t="s">
        <v>161</v>
      </c>
      <c r="AN22" s="358" t="s">
        <v>162</v>
      </c>
      <c r="AO22" s="358" t="s">
        <v>172</v>
      </c>
      <c r="AP22" s="358" t="s">
        <v>173</v>
      </c>
      <c r="AQ22" s="358" t="s">
        <v>174</v>
      </c>
      <c r="AR22" s="358" t="s">
        <v>338</v>
      </c>
      <c r="AS22" s="358" t="s">
        <v>248</v>
      </c>
      <c r="AT22" s="359" t="s">
        <v>32</v>
      </c>
      <c r="AX22" s="360" t="s">
        <v>360</v>
      </c>
    </row>
    <row r="23" spans="1:50" s="3" customFormat="1" ht="13.5" thickBot="1" x14ac:dyDescent="0.25">
      <c r="B23" s="6"/>
      <c r="C23" s="7" t="s">
        <v>21</v>
      </c>
      <c r="D23" s="28">
        <f>SUM(D27:D125)</f>
        <v>12108570.21417854</v>
      </c>
      <c r="E23" s="29">
        <f>SUM(E26:E125)</f>
        <v>3062370</v>
      </c>
      <c r="F23" s="29">
        <f t="shared" ref="F23:K23" si="0">SUM(F26:F125)</f>
        <v>0</v>
      </c>
      <c r="G23" s="29">
        <f t="shared" si="0"/>
        <v>50000</v>
      </c>
      <c r="H23" s="29">
        <f t="shared" si="0"/>
        <v>375000</v>
      </c>
      <c r="I23" s="29">
        <f>SUM(I26:I125)</f>
        <v>395000</v>
      </c>
      <c r="J23" s="29">
        <f t="shared" si="0"/>
        <v>0</v>
      </c>
      <c r="K23" s="29">
        <f t="shared" si="0"/>
        <v>0</v>
      </c>
      <c r="L23" s="367"/>
      <c r="M23" s="29">
        <f t="shared" ref="M23:U23" si="1">SUM(M26:M125)</f>
        <v>0</v>
      </c>
      <c r="N23" s="29">
        <f t="shared" si="1"/>
        <v>0</v>
      </c>
      <c r="O23" s="29">
        <f t="shared" si="1"/>
        <v>0</v>
      </c>
      <c r="P23" s="29">
        <f t="shared" si="1"/>
        <v>0</v>
      </c>
      <c r="Q23" s="29">
        <f t="shared" si="1"/>
        <v>0</v>
      </c>
      <c r="R23" s="29">
        <f t="shared" si="1"/>
        <v>0</v>
      </c>
      <c r="S23" s="29">
        <f t="shared" si="1"/>
        <v>267375</v>
      </c>
      <c r="T23" s="29">
        <f t="shared" si="1"/>
        <v>0</v>
      </c>
      <c r="U23" s="29">
        <f t="shared" si="1"/>
        <v>45000</v>
      </c>
      <c r="V23" s="29">
        <f>SUM(V26:V126)</f>
        <v>5125587.453411852</v>
      </c>
      <c r="W23" s="29">
        <f>SUM(W26:W126)</f>
        <v>918711</v>
      </c>
      <c r="X23" s="29">
        <f t="shared" ref="X23" si="2">SUM(X26:X125)</f>
        <v>0</v>
      </c>
      <c r="Y23" s="30">
        <f>SUM(Y26:Y125)</f>
        <v>22347613.667590391</v>
      </c>
      <c r="Z23" s="29">
        <f>SUM(Z26:Z125)</f>
        <v>10921236.580747418</v>
      </c>
      <c r="AA23" s="29">
        <f t="shared" ref="AA23:AQ23" si="3">SUM(AA26:AA125)</f>
        <v>747747.2866654956</v>
      </c>
      <c r="AB23" s="29">
        <f t="shared" si="3"/>
        <v>0</v>
      </c>
      <c r="AC23" s="29">
        <f t="shared" si="3"/>
        <v>47520.46226142066</v>
      </c>
      <c r="AD23" s="29">
        <f t="shared" si="3"/>
        <v>362318.84057971014</v>
      </c>
      <c r="AE23" s="29">
        <f t="shared" si="3"/>
        <v>379061.35499078163</v>
      </c>
      <c r="AF23" s="29">
        <f t="shared" si="3"/>
        <v>0</v>
      </c>
      <c r="AG23" s="29">
        <f t="shared" si="3"/>
        <v>0</v>
      </c>
      <c r="AH23" s="31">
        <f t="shared" si="3"/>
        <v>0</v>
      </c>
      <c r="AI23" s="31">
        <f t="shared" si="3"/>
        <v>0</v>
      </c>
      <c r="AJ23" s="31">
        <f t="shared" si="3"/>
        <v>0</v>
      </c>
      <c r="AK23" s="31">
        <f t="shared" si="3"/>
        <v>0</v>
      </c>
      <c r="AL23" s="31">
        <f t="shared" si="3"/>
        <v>0</v>
      </c>
      <c r="AM23" s="31">
        <f t="shared" si="3"/>
        <v>0</v>
      </c>
      <c r="AN23" s="31">
        <f t="shared" si="3"/>
        <v>0</v>
      </c>
      <c r="AO23" s="31">
        <f t="shared" si="3"/>
        <v>241156.93092798747</v>
      </c>
      <c r="AP23" s="31">
        <f t="shared" si="3"/>
        <v>0</v>
      </c>
      <c r="AQ23" s="31">
        <f t="shared" si="3"/>
        <v>40587.421755061005</v>
      </c>
      <c r="AR23" s="31">
        <f>SUM(AR26:AR125)</f>
        <v>4642073.2683915328</v>
      </c>
      <c r="AS23" s="31">
        <f t="shared" ref="AS23" si="4">SUM(AS26:AS125)</f>
        <v>224324.18599964856</v>
      </c>
      <c r="AT23" s="94">
        <f>SUM(AT26:AT125)</f>
        <v>17606026.332319047</v>
      </c>
      <c r="AV23" s="534">
        <f>AT23+'Future cost, inflation and risk'!C27+'Future cost, inflation and risk'!G17</f>
        <v>20303456.671303861</v>
      </c>
    </row>
    <row r="24" spans="1:50" s="3" customFormat="1" ht="12.75" x14ac:dyDescent="0.2">
      <c r="B24" s="8"/>
      <c r="C24" s="9" t="s">
        <v>22</v>
      </c>
      <c r="D24" s="33"/>
      <c r="E24" s="33"/>
      <c r="F24" s="33"/>
      <c r="G24" s="33"/>
      <c r="H24" s="33"/>
      <c r="I24" s="33"/>
      <c r="J24" s="33"/>
      <c r="K24" s="33"/>
      <c r="L24" s="368"/>
      <c r="M24" s="33"/>
      <c r="N24" s="33"/>
      <c r="O24" s="33"/>
      <c r="P24" s="33"/>
      <c r="Q24" s="33"/>
      <c r="R24" s="33"/>
      <c r="S24" s="33"/>
      <c r="T24" s="33"/>
      <c r="U24" s="33"/>
      <c r="V24" s="33"/>
      <c r="W24" s="33"/>
      <c r="X24" s="33"/>
      <c r="Y24" s="32">
        <f>Y23-(W23+E23)+'Future cost, inflation and risk'!C27</f>
        <v>20781491.326575205</v>
      </c>
      <c r="Z24" s="33"/>
      <c r="AA24" s="33"/>
      <c r="AB24" s="33"/>
      <c r="AC24" s="33"/>
      <c r="AD24" s="33"/>
      <c r="AE24" s="33"/>
      <c r="AF24" s="33"/>
      <c r="AG24" s="33"/>
      <c r="AH24" s="33"/>
      <c r="AI24" s="33"/>
      <c r="AJ24" s="33"/>
      <c r="AK24" s="33"/>
      <c r="AL24" s="33"/>
      <c r="AM24" s="33"/>
      <c r="AN24" s="33"/>
      <c r="AO24" s="33"/>
      <c r="AP24" s="33"/>
      <c r="AQ24" s="33"/>
      <c r="AR24" s="33"/>
      <c r="AS24" s="33"/>
      <c r="AT24" s="34"/>
    </row>
    <row r="25" spans="1:50" s="3" customFormat="1" ht="13.5" thickBot="1" x14ac:dyDescent="0.25">
      <c r="B25" s="10" t="s">
        <v>23</v>
      </c>
      <c r="C25" s="11" t="s">
        <v>24</v>
      </c>
      <c r="D25" s="36"/>
      <c r="E25" s="36"/>
      <c r="F25" s="36"/>
      <c r="G25" s="36"/>
      <c r="H25" s="36"/>
      <c r="I25" s="36"/>
      <c r="J25" s="36"/>
      <c r="K25" s="36"/>
      <c r="L25" s="369"/>
      <c r="M25" s="36"/>
      <c r="N25" s="36"/>
      <c r="O25" s="36"/>
      <c r="P25" s="36"/>
      <c r="Q25" s="36"/>
      <c r="R25" s="36"/>
      <c r="S25" s="36"/>
      <c r="T25" s="36"/>
      <c r="U25" s="36"/>
      <c r="V25" s="36"/>
      <c r="W25" s="36"/>
      <c r="X25" s="36"/>
      <c r="Y25" s="35"/>
      <c r="Z25" s="36"/>
      <c r="AA25" s="36"/>
      <c r="AB25" s="36"/>
      <c r="AC25" s="36"/>
      <c r="AD25" s="36"/>
      <c r="AE25" s="36"/>
      <c r="AF25" s="36"/>
      <c r="AG25" s="36"/>
      <c r="AH25" s="36"/>
      <c r="AI25" s="36"/>
      <c r="AJ25" s="36"/>
      <c r="AK25" s="36"/>
      <c r="AL25" s="36"/>
      <c r="AM25" s="36"/>
      <c r="AN25" s="36"/>
      <c r="AO25" s="36"/>
      <c r="AP25" s="36"/>
      <c r="AQ25" s="36"/>
      <c r="AR25" s="36"/>
      <c r="AS25" s="36"/>
      <c r="AT25" s="37"/>
    </row>
    <row r="26" spans="1:50" s="3" customFormat="1" ht="13.5" thickBot="1" x14ac:dyDescent="0.25">
      <c r="A26" s="3" t="s">
        <v>356</v>
      </c>
      <c r="B26" s="12">
        <v>0</v>
      </c>
      <c r="C26" s="83">
        <f>1/((1+$E$8)^B26)</f>
        <v>1</v>
      </c>
      <c r="D26" s="82">
        <f>IF($B26=V$21,'OBC Cost _Van Oord 2022'!$E$30,0)</f>
        <v>0</v>
      </c>
      <c r="E26" s="38">
        <f>IF(D26&gt;0,0,SUM(IF(AND(MOD(($B26-V$21),V$13)=0,$B26&gt;=V$21),X$13,0)+IF(AND(MOD(($B26-V$21),V$14)=0,$B26&gt;=V$21),X$14,0)+IF(AND(MOD(($B26-V$21),V$15)=0,$B26&gt;=V$21),X$15,0)+IF(AND(MOD(($B26-V$21),V$16)=0,$B26&gt;=V$21),X$16,0)+IF(AND(MOD(($B26-V$21),V$17)=0,$B26&gt;=V$21),X$17,0)+IF(AND(MOD(($B26-V$21),V$18)=0,$B26&gt;=V$21),X$18,0)+IF(AND(MOD(($B26-V$21),V$19)=0,$B26&gt;=V$21),X$19,0)+IF(AND(MOD(($B26-V$21),V$20)=0,$B26&gt;=V$21),X$20,0)))</f>
        <v>0</v>
      </c>
      <c r="F26" s="38"/>
      <c r="G26" s="38">
        <f>+'Future cost, inflation and risk'!C$33/4</f>
        <v>12500</v>
      </c>
      <c r="H26" s="38"/>
      <c r="I26" s="38"/>
      <c r="J26" s="38"/>
      <c r="K26" s="38"/>
      <c r="L26" s="370"/>
      <c r="M26" s="38"/>
      <c r="N26" s="38"/>
      <c r="O26" s="38"/>
      <c r="P26" s="38"/>
      <c r="Q26" s="38"/>
      <c r="R26" s="38"/>
      <c r="S26" s="38"/>
      <c r="T26" s="38"/>
      <c r="U26" s="38"/>
      <c r="V26" s="38">
        <f>(SUM(D26:U26)/SUM(D$26:U$29))*'Future cost, inflation and risk'!$C$43</f>
        <v>4838.7665783135717</v>
      </c>
      <c r="W26" s="45">
        <f t="shared" ref="W26:W28" si="5">0.3*E26</f>
        <v>0</v>
      </c>
      <c r="X26" s="581"/>
      <c r="Y26" s="40">
        <f t="shared" ref="Y26:Y57" si="6">SUM(D26:X26)</f>
        <v>17338.766578313571</v>
      </c>
      <c r="Z26" s="41">
        <f t="shared" ref="Z26" si="7">D26*$C26</f>
        <v>0</v>
      </c>
      <c r="AA26" s="41">
        <f t="shared" ref="AA26" si="8">E26*$C26</f>
        <v>0</v>
      </c>
      <c r="AB26" s="41">
        <f t="shared" ref="AB26" si="9">F26*$C26</f>
        <v>0</v>
      </c>
      <c r="AC26" s="41">
        <f t="shared" ref="AC26" si="10">G26*$C26</f>
        <v>12500</v>
      </c>
      <c r="AD26" s="41">
        <f t="shared" ref="AD26" si="11">H26*$C26</f>
        <v>0</v>
      </c>
      <c r="AE26" s="41">
        <f t="shared" ref="AE26" si="12">I26*$C26</f>
        <v>0</v>
      </c>
      <c r="AF26" s="41">
        <f t="shared" ref="AF26" si="13">J26*$C26</f>
        <v>0</v>
      </c>
      <c r="AG26" s="41">
        <f t="shared" ref="AG26" si="14">K26*$C26</f>
        <v>0</v>
      </c>
      <c r="AH26" s="41">
        <f t="shared" ref="AH26" si="15">L26*$C26</f>
        <v>0</v>
      </c>
      <c r="AI26" s="41">
        <f t="shared" ref="AI26" si="16">M26*$C26</f>
        <v>0</v>
      </c>
      <c r="AJ26" s="41">
        <f t="shared" ref="AJ26" si="17">N26*$C26</f>
        <v>0</v>
      </c>
      <c r="AK26" s="41">
        <f t="shared" ref="AK26" si="18">O26*$C26</f>
        <v>0</v>
      </c>
      <c r="AL26" s="41">
        <f t="shared" ref="AL26" si="19">P26*$C26</f>
        <v>0</v>
      </c>
      <c r="AM26" s="41">
        <f t="shared" ref="AM26" si="20">Q26*$C26</f>
        <v>0</v>
      </c>
      <c r="AN26" s="41">
        <f t="shared" ref="AN26" si="21">R26*$C26</f>
        <v>0</v>
      </c>
      <c r="AO26" s="41">
        <f t="shared" ref="AO26" si="22">S26*$C26</f>
        <v>0</v>
      </c>
      <c r="AP26" s="41">
        <f t="shared" ref="AP26" si="23">T26*$C26</f>
        <v>0</v>
      </c>
      <c r="AQ26" s="41">
        <f t="shared" ref="AQ26" si="24">U26*$C26</f>
        <v>0</v>
      </c>
      <c r="AR26" s="41">
        <f t="shared" ref="AR26" si="25">V26*$C26</f>
        <v>4838.7665783135717</v>
      </c>
      <c r="AS26" s="41">
        <f t="shared" ref="AS26" si="26">W26*$C26</f>
        <v>0</v>
      </c>
      <c r="AT26" s="44">
        <f t="shared" ref="AT26:AT57" si="27">SUM(Z26:AS26)</f>
        <v>17338.766578313571</v>
      </c>
    </row>
    <row r="27" spans="1:50" s="3" customFormat="1" ht="13.5" thickBot="1" x14ac:dyDescent="0.25">
      <c r="A27" s="3" t="s">
        <v>357</v>
      </c>
      <c r="B27" s="12">
        <f t="shared" ref="B27:B90" si="28">B26+1</f>
        <v>1</v>
      </c>
      <c r="C27" s="13">
        <f t="shared" ref="C27:C56" si="29">C26/(1+$E$8)</f>
        <v>0.96618357487922713</v>
      </c>
      <c r="D27" s="82">
        <f>IF($B27=V$21,'OBC Cost _Van Oord 2022'!$E$30,0)</f>
        <v>0</v>
      </c>
      <c r="E27" s="38">
        <f t="shared" ref="E27:E90" si="30">IF(D27&gt;0,0,SUM(IF(AND(MOD(($B27-V$21),V$13)=0,$B27&gt;=V$21),X$13,0)+IF(AND(MOD(($B27-V$21),V$14)=0,$B27&gt;=V$21),X$14,0)+IF(AND(MOD(($B27-V$21),V$15)=0,$B27&gt;=V$21),X$15,0)+IF(AND(MOD(($B27-V$21),V$16)=0,$B27&gt;=V$21),X$16,0)+IF(AND(MOD(($B27-V$21),V$17)=0,$B27&gt;=V$21),X$17,0)+IF(AND(MOD(($B27-V$21),V$18)=0,$B27&gt;=V$21),X$18,0)+IF(AND(MOD(($B27-V$21),V$19)=0,$B27&gt;=V$21),X$19,0)+IF(AND(MOD(($B27-V$21),V$20)=0,$B27&gt;=V$21),X$20,0)))</f>
        <v>0</v>
      </c>
      <c r="F27" s="38"/>
      <c r="G27" s="38">
        <f>+'Future cost, inflation and risk'!C$33/4</f>
        <v>12500</v>
      </c>
      <c r="H27" s="38">
        <f>+'Future cost, inflation and risk'!C$35</f>
        <v>375000</v>
      </c>
      <c r="I27" s="38">
        <f>+'Future cost, inflation and risk'!C$34*0.8</f>
        <v>316000</v>
      </c>
      <c r="J27" s="38">
        <v>0</v>
      </c>
      <c r="K27" s="38">
        <v>0</v>
      </c>
      <c r="L27" s="370"/>
      <c r="M27" s="38"/>
      <c r="N27" s="38"/>
      <c r="O27" s="38"/>
      <c r="P27" s="38"/>
      <c r="Q27" s="38"/>
      <c r="R27" s="38"/>
      <c r="S27" s="38"/>
      <c r="T27" s="38"/>
      <c r="U27" s="38"/>
      <c r="V27" s="38">
        <f>(SUM(D27:U27)/SUM(D$26:U$29))*'Future cost, inflation and risk'!$C$43</f>
        <v>272325.78302748781</v>
      </c>
      <c r="W27" s="45">
        <f t="shared" si="5"/>
        <v>0</v>
      </c>
      <c r="X27" s="581"/>
      <c r="Y27" s="46">
        <f t="shared" si="6"/>
        <v>975825.78302748781</v>
      </c>
      <c r="Z27" s="41">
        <f t="shared" ref="Z27:Z28" si="31">D27*$C27</f>
        <v>0</v>
      </c>
      <c r="AA27" s="41">
        <f t="shared" ref="AA27:AA28" si="32">E27*$C27</f>
        <v>0</v>
      </c>
      <c r="AB27" s="41">
        <f t="shared" ref="AB27:AB28" si="33">F27*$C27</f>
        <v>0</v>
      </c>
      <c r="AC27" s="41">
        <f t="shared" ref="AC27:AC28" si="34">G27*$C27</f>
        <v>12077.294685990339</v>
      </c>
      <c r="AD27" s="41">
        <f t="shared" ref="AD27:AD28" si="35">H27*$C27</f>
        <v>362318.84057971014</v>
      </c>
      <c r="AE27" s="41">
        <f t="shared" ref="AE27:AE28" si="36">I27*$C27</f>
        <v>305314.00966183579</v>
      </c>
      <c r="AF27" s="41">
        <f t="shared" ref="AF27:AF28" si="37">J27*$C27</f>
        <v>0</v>
      </c>
      <c r="AG27" s="41">
        <f t="shared" ref="AG27:AG28" si="38">K27*$C27</f>
        <v>0</v>
      </c>
      <c r="AH27" s="41">
        <f t="shared" ref="AH27:AH28" si="39">L27*$C27</f>
        <v>0</v>
      </c>
      <c r="AI27" s="41">
        <f t="shared" ref="AI27:AI28" si="40">M27*$C27</f>
        <v>0</v>
      </c>
      <c r="AJ27" s="41">
        <f t="shared" ref="AJ27:AJ28" si="41">N27*$C27</f>
        <v>0</v>
      </c>
      <c r="AK27" s="41">
        <f t="shared" ref="AK27:AK28" si="42">O27*$C27</f>
        <v>0</v>
      </c>
      <c r="AL27" s="41">
        <f t="shared" ref="AL27:AL28" si="43">P27*$C27</f>
        <v>0</v>
      </c>
      <c r="AM27" s="41">
        <f t="shared" ref="AM27:AM28" si="44">Q27*$C27</f>
        <v>0</v>
      </c>
      <c r="AN27" s="41">
        <f t="shared" ref="AN27:AN28" si="45">R27*$C27</f>
        <v>0</v>
      </c>
      <c r="AO27" s="41">
        <f t="shared" ref="AO27:AO28" si="46">S27*$C27</f>
        <v>0</v>
      </c>
      <c r="AP27" s="41">
        <f t="shared" ref="AP27:AP28" si="47">T27*$C27</f>
        <v>0</v>
      </c>
      <c r="AQ27" s="41">
        <f t="shared" ref="AQ27:AQ28" si="48">U27*$C27</f>
        <v>0</v>
      </c>
      <c r="AR27" s="41">
        <f t="shared" ref="AR27:AR28" si="49">V27*$C27</f>
        <v>263116.69857728295</v>
      </c>
      <c r="AS27" s="41">
        <f t="shared" ref="AS27:AS28" si="50">W27*$C27</f>
        <v>0</v>
      </c>
      <c r="AT27" s="48">
        <f t="shared" si="27"/>
        <v>942826.8435048192</v>
      </c>
    </row>
    <row r="28" spans="1:50" s="3" customFormat="1" ht="13.5" thickBot="1" x14ac:dyDescent="0.25">
      <c r="A28" s="3" t="s">
        <v>358</v>
      </c>
      <c r="B28" s="12">
        <f t="shared" si="28"/>
        <v>2</v>
      </c>
      <c r="C28" s="13">
        <f t="shared" si="29"/>
        <v>0.93351070036640305</v>
      </c>
      <c r="D28" s="82">
        <f>IF($B28=V$21,'Construction Costs_2022'!K$128+'Construction Costs_2022'!K$7,0)</f>
        <v>0</v>
      </c>
      <c r="E28" s="38">
        <f t="shared" si="30"/>
        <v>0</v>
      </c>
      <c r="F28" s="38"/>
      <c r="G28" s="38">
        <f>+'Future cost, inflation and risk'!C$33/4</f>
        <v>12500</v>
      </c>
      <c r="H28" s="38"/>
      <c r="I28" s="38">
        <f>+'Future cost, inflation and risk'!C$34*0.2</f>
        <v>79000</v>
      </c>
      <c r="J28" s="38"/>
      <c r="K28" s="38"/>
      <c r="L28" s="370"/>
      <c r="M28" s="38"/>
      <c r="N28" s="38">
        <v>0</v>
      </c>
      <c r="O28" s="38">
        <v>0</v>
      </c>
      <c r="P28" s="38">
        <v>0</v>
      </c>
      <c r="Q28" s="38">
        <v>0</v>
      </c>
      <c r="R28" s="38"/>
      <c r="S28" s="38"/>
      <c r="T28" s="38"/>
      <c r="U28" s="38"/>
      <c r="V28" s="38">
        <f>(SUM(D28:U28)/SUM(D$26:U$29))*'Future cost, inflation and risk'!$C$43</f>
        <v>35419.771353255339</v>
      </c>
      <c r="W28" s="45">
        <f t="shared" si="5"/>
        <v>0</v>
      </c>
      <c r="X28" s="581"/>
      <c r="Y28" s="46">
        <f>SUM(D28:X28)</f>
        <v>126919.77135325535</v>
      </c>
      <c r="Z28" s="41">
        <f t="shared" si="31"/>
        <v>0</v>
      </c>
      <c r="AA28" s="41">
        <f t="shared" si="32"/>
        <v>0</v>
      </c>
      <c r="AB28" s="41">
        <f t="shared" si="33"/>
        <v>0</v>
      </c>
      <c r="AC28" s="41">
        <f t="shared" si="34"/>
        <v>11668.883754580038</v>
      </c>
      <c r="AD28" s="41">
        <f t="shared" si="35"/>
        <v>0</v>
      </c>
      <c r="AE28" s="41">
        <f t="shared" si="36"/>
        <v>73747.345328945841</v>
      </c>
      <c r="AF28" s="41">
        <f t="shared" si="37"/>
        <v>0</v>
      </c>
      <c r="AG28" s="41">
        <f t="shared" si="38"/>
        <v>0</v>
      </c>
      <c r="AH28" s="41">
        <f t="shared" si="39"/>
        <v>0</v>
      </c>
      <c r="AI28" s="41">
        <f t="shared" si="40"/>
        <v>0</v>
      </c>
      <c r="AJ28" s="41">
        <f t="shared" si="41"/>
        <v>0</v>
      </c>
      <c r="AK28" s="41">
        <f t="shared" si="42"/>
        <v>0</v>
      </c>
      <c r="AL28" s="41">
        <f t="shared" si="43"/>
        <v>0</v>
      </c>
      <c r="AM28" s="41">
        <f t="shared" si="44"/>
        <v>0</v>
      </c>
      <c r="AN28" s="41">
        <f t="shared" si="45"/>
        <v>0</v>
      </c>
      <c r="AO28" s="41">
        <f t="shared" si="46"/>
        <v>0</v>
      </c>
      <c r="AP28" s="41">
        <f t="shared" si="47"/>
        <v>0</v>
      </c>
      <c r="AQ28" s="41">
        <f t="shared" si="48"/>
        <v>0</v>
      </c>
      <c r="AR28" s="41">
        <f t="shared" si="49"/>
        <v>33064.735562795249</v>
      </c>
      <c r="AS28" s="41">
        <f t="shared" si="50"/>
        <v>0</v>
      </c>
      <c r="AT28" s="92">
        <f t="shared" si="27"/>
        <v>118480.96464632112</v>
      </c>
    </row>
    <row r="29" spans="1:50" s="3" customFormat="1" ht="12.75" x14ac:dyDescent="0.2">
      <c r="A29" s="3" t="s">
        <v>359</v>
      </c>
      <c r="B29" s="12">
        <f t="shared" si="28"/>
        <v>3</v>
      </c>
      <c r="C29" s="13">
        <f t="shared" si="29"/>
        <v>0.90194270566802237</v>
      </c>
      <c r="D29" s="82">
        <f>IF($B29=V$21,'Construction Costs_2022'!K$128+'Construction Costs_2022'!K$7,0)</f>
        <v>12108570.21417854</v>
      </c>
      <c r="E29" s="38">
        <f t="shared" si="30"/>
        <v>0</v>
      </c>
      <c r="F29" s="38"/>
      <c r="G29" s="38">
        <f>+'Future cost, inflation and risk'!C$33/4</f>
        <v>12500</v>
      </c>
      <c r="H29" s="38"/>
      <c r="I29" s="38"/>
      <c r="J29" s="38"/>
      <c r="K29" s="38"/>
      <c r="L29" s="370"/>
      <c r="M29" s="38"/>
      <c r="N29" s="38"/>
      <c r="O29" s="38"/>
      <c r="P29" s="38"/>
      <c r="Q29" s="38"/>
      <c r="R29" s="38"/>
      <c r="S29" s="38">
        <f>+'Future cost, inflation and risk'!C$37</f>
        <v>267375</v>
      </c>
      <c r="T29" s="38"/>
      <c r="U29" s="38">
        <f>+'Future cost, inflation and risk'!C$38</f>
        <v>45000</v>
      </c>
      <c r="V29" s="38">
        <f>(SUM(D29:U29)/SUM(D$26:U$29))*'Future cost, inflation and risk'!$C$43</f>
        <v>4813003.1324527953</v>
      </c>
      <c r="W29" s="45">
        <f>0.3*E29</f>
        <v>0</v>
      </c>
      <c r="X29" s="581"/>
      <c r="Y29" s="46">
        <f t="shared" si="6"/>
        <v>17246448.346631333</v>
      </c>
      <c r="Z29" s="41">
        <f t="shared" ref="Z29:Z92" si="51">D29*$C29</f>
        <v>10921236.580747418</v>
      </c>
      <c r="AA29" s="41">
        <f t="shared" ref="AA29:AA92" si="52">E29*$C29</f>
        <v>0</v>
      </c>
      <c r="AB29" s="41">
        <f t="shared" ref="AB29:AB92" si="53">F29*$C29</f>
        <v>0</v>
      </c>
      <c r="AC29" s="41">
        <f t="shared" ref="AC29:AC92" si="54">G29*$C29</f>
        <v>11274.28382085028</v>
      </c>
      <c r="AD29" s="41">
        <f t="shared" ref="AD29:AD92" si="55">H29*$C29</f>
        <v>0</v>
      </c>
      <c r="AE29" s="41">
        <f t="shared" ref="AE29:AE92" si="56">I29*$C29</f>
        <v>0</v>
      </c>
      <c r="AF29" s="41">
        <f t="shared" ref="AF29:AF92" si="57">J29*$C29</f>
        <v>0</v>
      </c>
      <c r="AG29" s="41">
        <f t="shared" ref="AG29:AG92" si="58">K29*$C29</f>
        <v>0</v>
      </c>
      <c r="AH29" s="41">
        <f t="shared" ref="AH29:AH92" si="59">L29*$C29</f>
        <v>0</v>
      </c>
      <c r="AI29" s="41">
        <f t="shared" ref="AI29:AI92" si="60">M29*$C29</f>
        <v>0</v>
      </c>
      <c r="AJ29" s="41">
        <f t="shared" ref="AJ29:AJ92" si="61">N29*$C29</f>
        <v>0</v>
      </c>
      <c r="AK29" s="41">
        <f t="shared" ref="AK29:AK92" si="62">O29*$C29</f>
        <v>0</v>
      </c>
      <c r="AL29" s="41">
        <f t="shared" ref="AL29:AL92" si="63">P29*$C29</f>
        <v>0</v>
      </c>
      <c r="AM29" s="41">
        <f t="shared" ref="AM29:AM92" si="64">Q29*$C29</f>
        <v>0</v>
      </c>
      <c r="AN29" s="41">
        <f t="shared" ref="AN29:AN92" si="65">R29*$C29</f>
        <v>0</v>
      </c>
      <c r="AO29" s="41">
        <f t="shared" ref="AO29:AO92" si="66">S29*$C29</f>
        <v>241156.93092798747</v>
      </c>
      <c r="AP29" s="41">
        <f t="shared" ref="AP29:AP92" si="67">T29*$C29</f>
        <v>0</v>
      </c>
      <c r="AQ29" s="41">
        <f t="shared" ref="AQ29:AQ92" si="68">U29*$C29</f>
        <v>40587.421755061005</v>
      </c>
      <c r="AR29" s="41">
        <f t="shared" ref="AR29:AR92" si="69">V29*$C29</f>
        <v>4341053.0676731411</v>
      </c>
      <c r="AS29" s="41">
        <f t="shared" ref="AS29:AS92" si="70">W29*$C29</f>
        <v>0</v>
      </c>
      <c r="AT29" s="92">
        <f t="shared" si="27"/>
        <v>15555308.284924459</v>
      </c>
    </row>
    <row r="30" spans="1:50" s="3" customFormat="1" ht="12.75" x14ac:dyDescent="0.2">
      <c r="B30" s="12">
        <f t="shared" si="28"/>
        <v>4</v>
      </c>
      <c r="C30" s="13">
        <f t="shared" si="29"/>
        <v>0.87144222769857238</v>
      </c>
      <c r="D30" s="82">
        <f>IF($B30=V$21,'OBC Cost _Van Oord 2022'!$E$30,0)</f>
        <v>0</v>
      </c>
      <c r="E30" s="38">
        <f t="shared" si="30"/>
        <v>600</v>
      </c>
      <c r="F30" s="38"/>
      <c r="G30" s="38"/>
      <c r="H30" s="38"/>
      <c r="I30" s="38"/>
      <c r="J30" s="38"/>
      <c r="K30" s="38"/>
      <c r="L30" s="370"/>
      <c r="M30" s="38"/>
      <c r="N30" s="38"/>
      <c r="O30" s="38"/>
      <c r="P30" s="38"/>
      <c r="Q30" s="38"/>
      <c r="R30" s="38"/>
      <c r="S30" s="38"/>
      <c r="T30" s="38"/>
      <c r="U30" s="38"/>
      <c r="V30" s="38"/>
      <c r="W30" s="45">
        <f t="shared" ref="W30:W93" si="71">0.3*E30</f>
        <v>180</v>
      </c>
      <c r="X30" s="45"/>
      <c r="Y30" s="46">
        <f t="shared" si="6"/>
        <v>780</v>
      </c>
      <c r="Z30" s="41">
        <f t="shared" si="51"/>
        <v>0</v>
      </c>
      <c r="AA30" s="41">
        <f t="shared" si="52"/>
        <v>522.86533661914348</v>
      </c>
      <c r="AB30" s="41">
        <f t="shared" si="53"/>
        <v>0</v>
      </c>
      <c r="AC30" s="41">
        <f t="shared" si="54"/>
        <v>0</v>
      </c>
      <c r="AD30" s="41">
        <f t="shared" si="55"/>
        <v>0</v>
      </c>
      <c r="AE30" s="41">
        <f t="shared" si="56"/>
        <v>0</v>
      </c>
      <c r="AF30" s="41">
        <f t="shared" si="57"/>
        <v>0</v>
      </c>
      <c r="AG30" s="41">
        <f t="shared" si="58"/>
        <v>0</v>
      </c>
      <c r="AH30" s="41">
        <f t="shared" si="59"/>
        <v>0</v>
      </c>
      <c r="AI30" s="41">
        <f t="shared" si="60"/>
        <v>0</v>
      </c>
      <c r="AJ30" s="41">
        <f t="shared" si="61"/>
        <v>0</v>
      </c>
      <c r="AK30" s="41">
        <f t="shared" si="62"/>
        <v>0</v>
      </c>
      <c r="AL30" s="41">
        <f t="shared" si="63"/>
        <v>0</v>
      </c>
      <c r="AM30" s="41">
        <f t="shared" si="64"/>
        <v>0</v>
      </c>
      <c r="AN30" s="41">
        <f t="shared" si="65"/>
        <v>0</v>
      </c>
      <c r="AO30" s="41">
        <f t="shared" si="66"/>
        <v>0</v>
      </c>
      <c r="AP30" s="41">
        <f t="shared" si="67"/>
        <v>0</v>
      </c>
      <c r="AQ30" s="41">
        <f t="shared" si="68"/>
        <v>0</v>
      </c>
      <c r="AR30" s="41">
        <f t="shared" si="69"/>
        <v>0</v>
      </c>
      <c r="AS30" s="41">
        <f t="shared" si="70"/>
        <v>156.85960098574301</v>
      </c>
      <c r="AT30" s="92">
        <f t="shared" si="27"/>
        <v>679.72493760488646</v>
      </c>
    </row>
    <row r="31" spans="1:50" s="3" customFormat="1" ht="12.75" x14ac:dyDescent="0.2">
      <c r="B31" s="12">
        <f t="shared" si="28"/>
        <v>5</v>
      </c>
      <c r="C31" s="13">
        <f t="shared" si="29"/>
        <v>0.84197316685852408</v>
      </c>
      <c r="D31" s="82">
        <f>IF($B31=V$21,'OBC Cost _Van Oord 2022'!$E$30,0)</f>
        <v>0</v>
      </c>
      <c r="E31" s="38">
        <f t="shared" si="30"/>
        <v>600</v>
      </c>
      <c r="F31" s="38"/>
      <c r="G31" s="38"/>
      <c r="H31" s="38"/>
      <c r="I31" s="38"/>
      <c r="J31" s="38"/>
      <c r="K31" s="38"/>
      <c r="L31" s="370"/>
      <c r="M31" s="38"/>
      <c r="N31" s="38"/>
      <c r="O31" s="38"/>
      <c r="P31" s="38"/>
      <c r="Q31" s="38"/>
      <c r="R31" s="38"/>
      <c r="S31" s="38"/>
      <c r="T31" s="38"/>
      <c r="U31" s="38"/>
      <c r="V31" s="38"/>
      <c r="W31" s="45">
        <f t="shared" si="71"/>
        <v>180</v>
      </c>
      <c r="X31" s="45"/>
      <c r="Y31" s="46">
        <f t="shared" si="6"/>
        <v>780</v>
      </c>
      <c r="Z31" s="41">
        <f t="shared" si="51"/>
        <v>0</v>
      </c>
      <c r="AA31" s="41">
        <f t="shared" si="52"/>
        <v>505.18390011511445</v>
      </c>
      <c r="AB31" s="41">
        <f t="shared" si="53"/>
        <v>0</v>
      </c>
      <c r="AC31" s="41">
        <f t="shared" si="54"/>
        <v>0</v>
      </c>
      <c r="AD31" s="41">
        <f t="shared" si="55"/>
        <v>0</v>
      </c>
      <c r="AE31" s="41">
        <f t="shared" si="56"/>
        <v>0</v>
      </c>
      <c r="AF31" s="41">
        <f t="shared" si="57"/>
        <v>0</v>
      </c>
      <c r="AG31" s="41">
        <f t="shared" si="58"/>
        <v>0</v>
      </c>
      <c r="AH31" s="41">
        <f t="shared" si="59"/>
        <v>0</v>
      </c>
      <c r="AI31" s="41">
        <f t="shared" si="60"/>
        <v>0</v>
      </c>
      <c r="AJ31" s="41">
        <f t="shared" si="61"/>
        <v>0</v>
      </c>
      <c r="AK31" s="41">
        <f t="shared" si="62"/>
        <v>0</v>
      </c>
      <c r="AL31" s="41">
        <f t="shared" si="63"/>
        <v>0</v>
      </c>
      <c r="AM31" s="41">
        <f t="shared" si="64"/>
        <v>0</v>
      </c>
      <c r="AN31" s="41">
        <f t="shared" si="65"/>
        <v>0</v>
      </c>
      <c r="AO31" s="41">
        <f t="shared" si="66"/>
        <v>0</v>
      </c>
      <c r="AP31" s="41">
        <f t="shared" si="67"/>
        <v>0</v>
      </c>
      <c r="AQ31" s="41">
        <f t="shared" si="68"/>
        <v>0</v>
      </c>
      <c r="AR31" s="41">
        <f t="shared" si="69"/>
        <v>0</v>
      </c>
      <c r="AS31" s="41">
        <f t="shared" si="70"/>
        <v>151.55517003453434</v>
      </c>
      <c r="AT31" s="92">
        <f t="shared" si="27"/>
        <v>656.7390701496488</v>
      </c>
    </row>
    <row r="32" spans="1:50" s="3" customFormat="1" ht="12.75" x14ac:dyDescent="0.2">
      <c r="B32" s="12">
        <f t="shared" si="28"/>
        <v>6</v>
      </c>
      <c r="C32" s="13">
        <f t="shared" si="29"/>
        <v>0.81350064430775282</v>
      </c>
      <c r="D32" s="82">
        <f>IF($B32=V$21,'OBC Cost _Van Oord 2022'!$E$30,0)</f>
        <v>0</v>
      </c>
      <c r="E32" s="38">
        <f t="shared" si="30"/>
        <v>600</v>
      </c>
      <c r="F32" s="38"/>
      <c r="G32" s="38"/>
      <c r="H32" s="38"/>
      <c r="I32" s="38"/>
      <c r="J32" s="38"/>
      <c r="K32" s="38"/>
      <c r="L32" s="370"/>
      <c r="M32" s="38"/>
      <c r="N32" s="38"/>
      <c r="O32" s="38"/>
      <c r="P32" s="38"/>
      <c r="Q32" s="38"/>
      <c r="R32" s="38"/>
      <c r="S32" s="38"/>
      <c r="T32" s="38"/>
      <c r="U32" s="38"/>
      <c r="V32" s="38"/>
      <c r="W32" s="45">
        <f t="shared" si="71"/>
        <v>180</v>
      </c>
      <c r="X32" s="45"/>
      <c r="Y32" s="46">
        <f t="shared" si="6"/>
        <v>780</v>
      </c>
      <c r="Z32" s="41">
        <f t="shared" si="51"/>
        <v>0</v>
      </c>
      <c r="AA32" s="41">
        <f t="shared" si="52"/>
        <v>488.10038658465169</v>
      </c>
      <c r="AB32" s="41">
        <f t="shared" si="53"/>
        <v>0</v>
      </c>
      <c r="AC32" s="41">
        <f t="shared" si="54"/>
        <v>0</v>
      </c>
      <c r="AD32" s="41">
        <f t="shared" si="55"/>
        <v>0</v>
      </c>
      <c r="AE32" s="41">
        <f t="shared" si="56"/>
        <v>0</v>
      </c>
      <c r="AF32" s="41">
        <f t="shared" si="57"/>
        <v>0</v>
      </c>
      <c r="AG32" s="41">
        <f t="shared" si="58"/>
        <v>0</v>
      </c>
      <c r="AH32" s="41">
        <f t="shared" si="59"/>
        <v>0</v>
      </c>
      <c r="AI32" s="41">
        <f t="shared" si="60"/>
        <v>0</v>
      </c>
      <c r="AJ32" s="41">
        <f t="shared" si="61"/>
        <v>0</v>
      </c>
      <c r="AK32" s="41">
        <f t="shared" si="62"/>
        <v>0</v>
      </c>
      <c r="AL32" s="41">
        <f t="shared" si="63"/>
        <v>0</v>
      </c>
      <c r="AM32" s="41">
        <f t="shared" si="64"/>
        <v>0</v>
      </c>
      <c r="AN32" s="41">
        <f t="shared" si="65"/>
        <v>0</v>
      </c>
      <c r="AO32" s="41">
        <f t="shared" si="66"/>
        <v>0</v>
      </c>
      <c r="AP32" s="41">
        <f t="shared" si="67"/>
        <v>0</v>
      </c>
      <c r="AQ32" s="41">
        <f t="shared" si="68"/>
        <v>0</v>
      </c>
      <c r="AR32" s="41">
        <f t="shared" si="69"/>
        <v>0</v>
      </c>
      <c r="AS32" s="41">
        <f t="shared" si="70"/>
        <v>146.43011597539549</v>
      </c>
      <c r="AT32" s="92">
        <f t="shared" si="27"/>
        <v>634.53050256004713</v>
      </c>
    </row>
    <row r="33" spans="2:46" s="3" customFormat="1" ht="12.75" x14ac:dyDescent="0.2">
      <c r="B33" s="12">
        <f t="shared" si="28"/>
        <v>7</v>
      </c>
      <c r="C33" s="13">
        <f t="shared" si="29"/>
        <v>0.78599096068381924</v>
      </c>
      <c r="D33" s="82">
        <f>IF($B33=V$21,'OBC Cost _Van Oord 2022'!$E$30,0)</f>
        <v>0</v>
      </c>
      <c r="E33" s="38">
        <f t="shared" si="30"/>
        <v>600</v>
      </c>
      <c r="F33" s="38"/>
      <c r="G33" s="38"/>
      <c r="H33" s="38"/>
      <c r="I33" s="38"/>
      <c r="J33" s="38"/>
      <c r="K33" s="38"/>
      <c r="L33" s="370"/>
      <c r="M33" s="38"/>
      <c r="N33" s="38"/>
      <c r="O33" s="38"/>
      <c r="P33" s="38"/>
      <c r="Q33" s="38"/>
      <c r="R33" s="38"/>
      <c r="S33" s="38"/>
      <c r="T33" s="38"/>
      <c r="U33" s="38"/>
      <c r="V33" s="38"/>
      <c r="W33" s="45">
        <f t="shared" si="71"/>
        <v>180</v>
      </c>
      <c r="X33" s="45"/>
      <c r="Y33" s="46">
        <f t="shared" si="6"/>
        <v>780</v>
      </c>
      <c r="Z33" s="41">
        <f t="shared" si="51"/>
        <v>0</v>
      </c>
      <c r="AA33" s="41">
        <f t="shared" si="52"/>
        <v>471.59457641029155</v>
      </c>
      <c r="AB33" s="41">
        <f t="shared" si="53"/>
        <v>0</v>
      </c>
      <c r="AC33" s="41">
        <f t="shared" si="54"/>
        <v>0</v>
      </c>
      <c r="AD33" s="41">
        <f t="shared" si="55"/>
        <v>0</v>
      </c>
      <c r="AE33" s="41">
        <f t="shared" si="56"/>
        <v>0</v>
      </c>
      <c r="AF33" s="41">
        <f t="shared" si="57"/>
        <v>0</v>
      </c>
      <c r="AG33" s="41">
        <f t="shared" si="58"/>
        <v>0</v>
      </c>
      <c r="AH33" s="41">
        <f t="shared" si="59"/>
        <v>0</v>
      </c>
      <c r="AI33" s="41">
        <f t="shared" si="60"/>
        <v>0</v>
      </c>
      <c r="AJ33" s="41">
        <f t="shared" si="61"/>
        <v>0</v>
      </c>
      <c r="AK33" s="41">
        <f t="shared" si="62"/>
        <v>0</v>
      </c>
      <c r="AL33" s="41">
        <f t="shared" si="63"/>
        <v>0</v>
      </c>
      <c r="AM33" s="41">
        <f t="shared" si="64"/>
        <v>0</v>
      </c>
      <c r="AN33" s="41">
        <f t="shared" si="65"/>
        <v>0</v>
      </c>
      <c r="AO33" s="41">
        <f t="shared" si="66"/>
        <v>0</v>
      </c>
      <c r="AP33" s="41">
        <f t="shared" si="67"/>
        <v>0</v>
      </c>
      <c r="AQ33" s="41">
        <f t="shared" si="68"/>
        <v>0</v>
      </c>
      <c r="AR33" s="41">
        <f t="shared" si="69"/>
        <v>0</v>
      </c>
      <c r="AS33" s="41">
        <f t="shared" si="70"/>
        <v>141.47837292308748</v>
      </c>
      <c r="AT33" s="92">
        <f t="shared" si="27"/>
        <v>613.07294933337903</v>
      </c>
    </row>
    <row r="34" spans="2:46" s="3" customFormat="1" ht="12.75" x14ac:dyDescent="0.2">
      <c r="B34" s="12">
        <f t="shared" si="28"/>
        <v>8</v>
      </c>
      <c r="C34" s="13">
        <f t="shared" si="29"/>
        <v>0.75941155621625056</v>
      </c>
      <c r="D34" s="82">
        <f>IF($B34=V$21,'OBC Cost _Van Oord 2022'!$E$30,0)</f>
        <v>0</v>
      </c>
      <c r="E34" s="38">
        <f t="shared" si="30"/>
        <v>87000</v>
      </c>
      <c r="F34" s="38"/>
      <c r="G34" s="38"/>
      <c r="H34" s="38"/>
      <c r="I34" s="38"/>
      <c r="J34" s="38"/>
      <c r="K34" s="38"/>
      <c r="L34" s="370"/>
      <c r="M34" s="38"/>
      <c r="N34" s="38"/>
      <c r="O34" s="38"/>
      <c r="P34" s="38"/>
      <c r="Q34" s="38"/>
      <c r="R34" s="38"/>
      <c r="S34" s="38"/>
      <c r="T34" s="38"/>
      <c r="U34" s="38"/>
      <c r="V34" s="38"/>
      <c r="W34" s="45">
        <f t="shared" si="71"/>
        <v>26100</v>
      </c>
      <c r="X34" s="45"/>
      <c r="Y34" s="46">
        <f t="shared" si="6"/>
        <v>113100</v>
      </c>
      <c r="Z34" s="41">
        <f t="shared" si="51"/>
        <v>0</v>
      </c>
      <c r="AA34" s="41">
        <f t="shared" si="52"/>
        <v>66068.805390813795</v>
      </c>
      <c r="AB34" s="41">
        <f t="shared" si="53"/>
        <v>0</v>
      </c>
      <c r="AC34" s="41">
        <f t="shared" si="54"/>
        <v>0</v>
      </c>
      <c r="AD34" s="41">
        <f t="shared" si="55"/>
        <v>0</v>
      </c>
      <c r="AE34" s="41">
        <f t="shared" si="56"/>
        <v>0</v>
      </c>
      <c r="AF34" s="41">
        <f t="shared" si="57"/>
        <v>0</v>
      </c>
      <c r="AG34" s="41">
        <f t="shared" si="58"/>
        <v>0</v>
      </c>
      <c r="AH34" s="41">
        <f t="shared" si="59"/>
        <v>0</v>
      </c>
      <c r="AI34" s="41">
        <f t="shared" si="60"/>
        <v>0</v>
      </c>
      <c r="AJ34" s="41">
        <f t="shared" si="61"/>
        <v>0</v>
      </c>
      <c r="AK34" s="41">
        <f t="shared" si="62"/>
        <v>0</v>
      </c>
      <c r="AL34" s="41">
        <f t="shared" si="63"/>
        <v>0</v>
      </c>
      <c r="AM34" s="41">
        <f t="shared" si="64"/>
        <v>0</v>
      </c>
      <c r="AN34" s="41">
        <f t="shared" si="65"/>
        <v>0</v>
      </c>
      <c r="AO34" s="41">
        <f t="shared" si="66"/>
        <v>0</v>
      </c>
      <c r="AP34" s="41">
        <f t="shared" si="67"/>
        <v>0</v>
      </c>
      <c r="AQ34" s="41">
        <f t="shared" si="68"/>
        <v>0</v>
      </c>
      <c r="AR34" s="41">
        <f t="shared" si="69"/>
        <v>0</v>
      </c>
      <c r="AS34" s="41">
        <f t="shared" si="70"/>
        <v>19820.641617244139</v>
      </c>
      <c r="AT34" s="92">
        <f t="shared" si="27"/>
        <v>85889.447008057934</v>
      </c>
    </row>
    <row r="35" spans="2:46" s="3" customFormat="1" ht="12.75" x14ac:dyDescent="0.2">
      <c r="B35" s="12">
        <f t="shared" si="28"/>
        <v>9</v>
      </c>
      <c r="C35" s="13">
        <f t="shared" si="29"/>
        <v>0.73373097218961414</v>
      </c>
      <c r="D35" s="82">
        <f>IF($B35=V$21,'OBC Cost _Van Oord 2022'!$E$30,0)</f>
        <v>0</v>
      </c>
      <c r="E35" s="38">
        <f t="shared" si="30"/>
        <v>600</v>
      </c>
      <c r="F35" s="38"/>
      <c r="G35" s="38"/>
      <c r="H35" s="38"/>
      <c r="I35" s="38"/>
      <c r="J35" s="38"/>
      <c r="K35" s="38"/>
      <c r="L35" s="370"/>
      <c r="M35" s="38"/>
      <c r="N35" s="38"/>
      <c r="O35" s="38"/>
      <c r="P35" s="38"/>
      <c r="Q35" s="38"/>
      <c r="R35" s="38"/>
      <c r="S35" s="38"/>
      <c r="T35" s="38"/>
      <c r="U35" s="38"/>
      <c r="V35" s="38"/>
      <c r="W35" s="45">
        <f t="shared" si="71"/>
        <v>180</v>
      </c>
      <c r="X35" s="45"/>
      <c r="Y35" s="46">
        <f t="shared" si="6"/>
        <v>780</v>
      </c>
      <c r="Z35" s="41">
        <f t="shared" si="51"/>
        <v>0</v>
      </c>
      <c r="AA35" s="41">
        <f t="shared" si="52"/>
        <v>440.23858331376846</v>
      </c>
      <c r="AB35" s="41">
        <f t="shared" si="53"/>
        <v>0</v>
      </c>
      <c r="AC35" s="41">
        <f t="shared" si="54"/>
        <v>0</v>
      </c>
      <c r="AD35" s="41">
        <f t="shared" si="55"/>
        <v>0</v>
      </c>
      <c r="AE35" s="41">
        <f t="shared" si="56"/>
        <v>0</v>
      </c>
      <c r="AF35" s="41">
        <f t="shared" si="57"/>
        <v>0</v>
      </c>
      <c r="AG35" s="41">
        <f t="shared" si="58"/>
        <v>0</v>
      </c>
      <c r="AH35" s="41">
        <f t="shared" si="59"/>
        <v>0</v>
      </c>
      <c r="AI35" s="41">
        <f t="shared" si="60"/>
        <v>0</v>
      </c>
      <c r="AJ35" s="41">
        <f t="shared" si="61"/>
        <v>0</v>
      </c>
      <c r="AK35" s="41">
        <f t="shared" si="62"/>
        <v>0</v>
      </c>
      <c r="AL35" s="41">
        <f t="shared" si="63"/>
        <v>0</v>
      </c>
      <c r="AM35" s="41">
        <f t="shared" si="64"/>
        <v>0</v>
      </c>
      <c r="AN35" s="41">
        <f t="shared" si="65"/>
        <v>0</v>
      </c>
      <c r="AO35" s="41">
        <f t="shared" si="66"/>
        <v>0</v>
      </c>
      <c r="AP35" s="41">
        <f t="shared" si="67"/>
        <v>0</v>
      </c>
      <c r="AQ35" s="41">
        <f t="shared" si="68"/>
        <v>0</v>
      </c>
      <c r="AR35" s="41">
        <f t="shared" si="69"/>
        <v>0</v>
      </c>
      <c r="AS35" s="41">
        <f t="shared" si="70"/>
        <v>132.07157499413054</v>
      </c>
      <c r="AT35" s="92">
        <f t="shared" si="27"/>
        <v>572.31015830789897</v>
      </c>
    </row>
    <row r="36" spans="2:46" s="3" customFormat="1" ht="12.75" x14ac:dyDescent="0.2">
      <c r="B36" s="12">
        <f t="shared" si="28"/>
        <v>10</v>
      </c>
      <c r="C36" s="13">
        <f t="shared" si="29"/>
        <v>0.70891881370977217</v>
      </c>
      <c r="D36" s="82">
        <f>IF($B36=V$21,'OBC Cost _Van Oord 2022'!$E$30,0)</f>
        <v>0</v>
      </c>
      <c r="E36" s="38">
        <f t="shared" si="30"/>
        <v>600</v>
      </c>
      <c r="F36" s="38"/>
      <c r="G36" s="38"/>
      <c r="H36" s="38"/>
      <c r="I36" s="38"/>
      <c r="J36" s="38"/>
      <c r="K36" s="38"/>
      <c r="L36" s="370"/>
      <c r="M36" s="38"/>
      <c r="N36" s="38"/>
      <c r="O36" s="38"/>
      <c r="P36" s="38"/>
      <c r="Q36" s="38"/>
      <c r="R36" s="38"/>
      <c r="S36" s="38"/>
      <c r="T36" s="38"/>
      <c r="U36" s="38"/>
      <c r="V36" s="38"/>
      <c r="W36" s="45">
        <f t="shared" si="71"/>
        <v>180</v>
      </c>
      <c r="X36" s="45"/>
      <c r="Y36" s="46">
        <f t="shared" si="6"/>
        <v>780</v>
      </c>
      <c r="Z36" s="41">
        <f t="shared" si="51"/>
        <v>0</v>
      </c>
      <c r="AA36" s="41">
        <f t="shared" si="52"/>
        <v>425.3512882258633</v>
      </c>
      <c r="AB36" s="41">
        <f t="shared" si="53"/>
        <v>0</v>
      </c>
      <c r="AC36" s="41">
        <f t="shared" si="54"/>
        <v>0</v>
      </c>
      <c r="AD36" s="41">
        <f t="shared" si="55"/>
        <v>0</v>
      </c>
      <c r="AE36" s="41">
        <f t="shared" si="56"/>
        <v>0</v>
      </c>
      <c r="AF36" s="41">
        <f t="shared" si="57"/>
        <v>0</v>
      </c>
      <c r="AG36" s="41">
        <f t="shared" si="58"/>
        <v>0</v>
      </c>
      <c r="AH36" s="41">
        <f t="shared" si="59"/>
        <v>0</v>
      </c>
      <c r="AI36" s="41">
        <f t="shared" si="60"/>
        <v>0</v>
      </c>
      <c r="AJ36" s="41">
        <f t="shared" si="61"/>
        <v>0</v>
      </c>
      <c r="AK36" s="41">
        <f t="shared" si="62"/>
        <v>0</v>
      </c>
      <c r="AL36" s="41">
        <f t="shared" si="63"/>
        <v>0</v>
      </c>
      <c r="AM36" s="41">
        <f t="shared" si="64"/>
        <v>0</v>
      </c>
      <c r="AN36" s="41">
        <f t="shared" si="65"/>
        <v>0</v>
      </c>
      <c r="AO36" s="41">
        <f t="shared" si="66"/>
        <v>0</v>
      </c>
      <c r="AP36" s="41">
        <f t="shared" si="67"/>
        <v>0</v>
      </c>
      <c r="AQ36" s="41">
        <f t="shared" si="68"/>
        <v>0</v>
      </c>
      <c r="AR36" s="41">
        <f t="shared" si="69"/>
        <v>0</v>
      </c>
      <c r="AS36" s="41">
        <f t="shared" si="70"/>
        <v>127.60538646775899</v>
      </c>
      <c r="AT36" s="92">
        <f t="shared" si="27"/>
        <v>552.95667469362229</v>
      </c>
    </row>
    <row r="37" spans="2:46" s="3" customFormat="1" ht="12.75" x14ac:dyDescent="0.2">
      <c r="B37" s="12">
        <f t="shared" si="28"/>
        <v>11</v>
      </c>
      <c r="C37" s="13">
        <f t="shared" si="29"/>
        <v>0.68494571372924851</v>
      </c>
      <c r="D37" s="82">
        <f>IF($B37=V$21,'OBC Cost _Van Oord 2022'!$E$30,0)</f>
        <v>0</v>
      </c>
      <c r="E37" s="38">
        <f t="shared" si="30"/>
        <v>600</v>
      </c>
      <c r="F37" s="38"/>
      <c r="G37" s="38"/>
      <c r="H37" s="38"/>
      <c r="I37" s="38"/>
      <c r="J37" s="38"/>
      <c r="K37" s="38"/>
      <c r="L37" s="370"/>
      <c r="M37" s="38"/>
      <c r="N37" s="38"/>
      <c r="O37" s="38"/>
      <c r="P37" s="38"/>
      <c r="Q37" s="38"/>
      <c r="R37" s="38"/>
      <c r="S37" s="38"/>
      <c r="T37" s="38"/>
      <c r="U37" s="38"/>
      <c r="V37" s="38"/>
      <c r="W37" s="45">
        <f t="shared" si="71"/>
        <v>180</v>
      </c>
      <c r="X37" s="45"/>
      <c r="Y37" s="46">
        <f t="shared" si="6"/>
        <v>780</v>
      </c>
      <c r="Z37" s="41">
        <f t="shared" si="51"/>
        <v>0</v>
      </c>
      <c r="AA37" s="41">
        <f t="shared" si="52"/>
        <v>410.96742823754909</v>
      </c>
      <c r="AB37" s="41">
        <f t="shared" si="53"/>
        <v>0</v>
      </c>
      <c r="AC37" s="41">
        <f t="shared" si="54"/>
        <v>0</v>
      </c>
      <c r="AD37" s="41">
        <f t="shared" si="55"/>
        <v>0</v>
      </c>
      <c r="AE37" s="41">
        <f t="shared" si="56"/>
        <v>0</v>
      </c>
      <c r="AF37" s="41">
        <f t="shared" si="57"/>
        <v>0</v>
      </c>
      <c r="AG37" s="41">
        <f t="shared" si="58"/>
        <v>0</v>
      </c>
      <c r="AH37" s="41">
        <f t="shared" si="59"/>
        <v>0</v>
      </c>
      <c r="AI37" s="41">
        <f t="shared" si="60"/>
        <v>0</v>
      </c>
      <c r="AJ37" s="41">
        <f t="shared" si="61"/>
        <v>0</v>
      </c>
      <c r="AK37" s="41">
        <f t="shared" si="62"/>
        <v>0</v>
      </c>
      <c r="AL37" s="41">
        <f t="shared" si="63"/>
        <v>0</v>
      </c>
      <c r="AM37" s="41">
        <f t="shared" si="64"/>
        <v>0</v>
      </c>
      <c r="AN37" s="41">
        <f t="shared" si="65"/>
        <v>0</v>
      </c>
      <c r="AO37" s="41">
        <f t="shared" si="66"/>
        <v>0</v>
      </c>
      <c r="AP37" s="41">
        <f t="shared" si="67"/>
        <v>0</v>
      </c>
      <c r="AQ37" s="41">
        <f t="shared" si="68"/>
        <v>0</v>
      </c>
      <c r="AR37" s="41">
        <f t="shared" si="69"/>
        <v>0</v>
      </c>
      <c r="AS37" s="41">
        <f t="shared" si="70"/>
        <v>123.29022847126473</v>
      </c>
      <c r="AT37" s="92">
        <f t="shared" si="27"/>
        <v>534.25765670881378</v>
      </c>
    </row>
    <row r="38" spans="2:46" s="3" customFormat="1" ht="13.5" customHeight="1" x14ac:dyDescent="0.2">
      <c r="B38" s="12">
        <f t="shared" si="28"/>
        <v>12</v>
      </c>
      <c r="C38" s="13">
        <f t="shared" si="29"/>
        <v>0.66178329828912907</v>
      </c>
      <c r="D38" s="82">
        <f>IF($B38=V$21,'OBC Cost _Van Oord 2022'!$E$30,0)</f>
        <v>0</v>
      </c>
      <c r="E38" s="38">
        <f t="shared" si="30"/>
        <v>600</v>
      </c>
      <c r="F38" s="38"/>
      <c r="G38" s="38"/>
      <c r="H38" s="38"/>
      <c r="I38" s="38"/>
      <c r="J38" s="38"/>
      <c r="K38" s="38"/>
      <c r="L38" s="38"/>
      <c r="M38" s="38"/>
      <c r="N38" s="38"/>
      <c r="O38" s="38"/>
      <c r="P38" s="38"/>
      <c r="Q38" s="38"/>
      <c r="R38" s="38"/>
      <c r="S38" s="38"/>
      <c r="T38" s="38"/>
      <c r="U38" s="38"/>
      <c r="V38" s="38"/>
      <c r="W38" s="45">
        <f t="shared" si="71"/>
        <v>180</v>
      </c>
      <c r="X38" s="45"/>
      <c r="Y38" s="46">
        <f t="shared" si="6"/>
        <v>780</v>
      </c>
      <c r="Z38" s="41">
        <f t="shared" si="51"/>
        <v>0</v>
      </c>
      <c r="AA38" s="41">
        <f t="shared" si="52"/>
        <v>397.06997897347742</v>
      </c>
      <c r="AB38" s="41">
        <f t="shared" si="53"/>
        <v>0</v>
      </c>
      <c r="AC38" s="41">
        <f t="shared" si="54"/>
        <v>0</v>
      </c>
      <c r="AD38" s="41">
        <f t="shared" si="55"/>
        <v>0</v>
      </c>
      <c r="AE38" s="41">
        <f t="shared" si="56"/>
        <v>0</v>
      </c>
      <c r="AF38" s="41">
        <f t="shared" si="57"/>
        <v>0</v>
      </c>
      <c r="AG38" s="41">
        <f t="shared" si="58"/>
        <v>0</v>
      </c>
      <c r="AH38" s="41">
        <f t="shared" si="59"/>
        <v>0</v>
      </c>
      <c r="AI38" s="41">
        <f t="shared" si="60"/>
        <v>0</v>
      </c>
      <c r="AJ38" s="41">
        <f t="shared" si="61"/>
        <v>0</v>
      </c>
      <c r="AK38" s="41">
        <f t="shared" si="62"/>
        <v>0</v>
      </c>
      <c r="AL38" s="41">
        <f t="shared" si="63"/>
        <v>0</v>
      </c>
      <c r="AM38" s="41">
        <f t="shared" si="64"/>
        <v>0</v>
      </c>
      <c r="AN38" s="41">
        <f t="shared" si="65"/>
        <v>0</v>
      </c>
      <c r="AO38" s="41">
        <f t="shared" si="66"/>
        <v>0</v>
      </c>
      <c r="AP38" s="41">
        <f t="shared" si="67"/>
        <v>0</v>
      </c>
      <c r="AQ38" s="41">
        <f t="shared" si="68"/>
        <v>0</v>
      </c>
      <c r="AR38" s="41">
        <f t="shared" si="69"/>
        <v>0</v>
      </c>
      <c r="AS38" s="41">
        <f t="shared" si="70"/>
        <v>119.12099369204323</v>
      </c>
      <c r="AT38" s="92">
        <f t="shared" si="27"/>
        <v>516.19097266552069</v>
      </c>
    </row>
    <row r="39" spans="2:46" s="3" customFormat="1" ht="13.5" customHeight="1" x14ac:dyDescent="0.2">
      <c r="B39" s="12">
        <f t="shared" si="28"/>
        <v>13</v>
      </c>
      <c r="C39" s="13">
        <f t="shared" si="29"/>
        <v>0.63940415293635666</v>
      </c>
      <c r="D39" s="82">
        <f>IF($B39=V$21,'OBC Cost _Van Oord 2022'!$E$30,0)</f>
        <v>0</v>
      </c>
      <c r="E39" s="38">
        <f t="shared" si="30"/>
        <v>202130</v>
      </c>
      <c r="F39" s="38"/>
      <c r="G39" s="38"/>
      <c r="H39" s="38"/>
      <c r="I39" s="38"/>
      <c r="J39" s="38"/>
      <c r="K39" s="38"/>
      <c r="L39" s="38"/>
      <c r="M39" s="38"/>
      <c r="N39" s="38"/>
      <c r="O39" s="38"/>
      <c r="P39" s="38"/>
      <c r="Q39" s="38"/>
      <c r="R39" s="38"/>
      <c r="S39" s="38"/>
      <c r="T39" s="38"/>
      <c r="U39" s="38"/>
      <c r="V39" s="38"/>
      <c r="W39" s="45">
        <f t="shared" si="71"/>
        <v>60639</v>
      </c>
      <c r="X39" s="45"/>
      <c r="Y39" s="46">
        <f t="shared" si="6"/>
        <v>262769</v>
      </c>
      <c r="Z39" s="41">
        <f t="shared" si="51"/>
        <v>0</v>
      </c>
      <c r="AA39" s="41">
        <f t="shared" si="52"/>
        <v>129242.76143302578</v>
      </c>
      <c r="AB39" s="41">
        <f t="shared" si="53"/>
        <v>0</v>
      </c>
      <c r="AC39" s="41">
        <f t="shared" si="54"/>
        <v>0</v>
      </c>
      <c r="AD39" s="41">
        <f t="shared" si="55"/>
        <v>0</v>
      </c>
      <c r="AE39" s="41">
        <f t="shared" si="56"/>
        <v>0</v>
      </c>
      <c r="AF39" s="41">
        <f t="shared" si="57"/>
        <v>0</v>
      </c>
      <c r="AG39" s="41">
        <f t="shared" si="58"/>
        <v>0</v>
      </c>
      <c r="AH39" s="41">
        <f t="shared" si="59"/>
        <v>0</v>
      </c>
      <c r="AI39" s="41">
        <f t="shared" si="60"/>
        <v>0</v>
      </c>
      <c r="AJ39" s="41">
        <f t="shared" si="61"/>
        <v>0</v>
      </c>
      <c r="AK39" s="41">
        <f t="shared" si="62"/>
        <v>0</v>
      </c>
      <c r="AL39" s="41">
        <f t="shared" si="63"/>
        <v>0</v>
      </c>
      <c r="AM39" s="41">
        <f t="shared" si="64"/>
        <v>0</v>
      </c>
      <c r="AN39" s="41">
        <f t="shared" si="65"/>
        <v>0</v>
      </c>
      <c r="AO39" s="41">
        <f t="shared" si="66"/>
        <v>0</v>
      </c>
      <c r="AP39" s="41">
        <f t="shared" si="67"/>
        <v>0</v>
      </c>
      <c r="AQ39" s="41">
        <f t="shared" si="68"/>
        <v>0</v>
      </c>
      <c r="AR39" s="41">
        <f t="shared" si="69"/>
        <v>0</v>
      </c>
      <c r="AS39" s="41">
        <f t="shared" si="70"/>
        <v>38772.828429907735</v>
      </c>
      <c r="AT39" s="92">
        <f t="shared" si="27"/>
        <v>168015.5898629335</v>
      </c>
    </row>
    <row r="40" spans="2:46" s="3" customFormat="1" ht="12.75" x14ac:dyDescent="0.2">
      <c r="B40" s="12">
        <f t="shared" si="28"/>
        <v>14</v>
      </c>
      <c r="C40" s="13">
        <f t="shared" si="29"/>
        <v>0.61778179027667313</v>
      </c>
      <c r="D40" s="82">
        <f>IF($B40=V$21,'OBC Cost _Van Oord 2022'!$E$30,0)</f>
        <v>0</v>
      </c>
      <c r="E40" s="38">
        <f t="shared" si="30"/>
        <v>600</v>
      </c>
      <c r="F40" s="38"/>
      <c r="G40" s="38"/>
      <c r="H40" s="38"/>
      <c r="I40" s="38"/>
      <c r="J40" s="38"/>
      <c r="K40" s="38"/>
      <c r="L40" s="38"/>
      <c r="M40" s="38"/>
      <c r="N40" s="38"/>
      <c r="O40" s="38"/>
      <c r="P40" s="38"/>
      <c r="Q40" s="38"/>
      <c r="R40" s="38"/>
      <c r="S40" s="38"/>
      <c r="T40" s="38"/>
      <c r="U40" s="38"/>
      <c r="V40" s="38"/>
      <c r="W40" s="45">
        <f t="shared" si="71"/>
        <v>180</v>
      </c>
      <c r="X40" s="45"/>
      <c r="Y40" s="46">
        <f t="shared" si="6"/>
        <v>780</v>
      </c>
      <c r="Z40" s="41">
        <f t="shared" si="51"/>
        <v>0</v>
      </c>
      <c r="AA40" s="41">
        <f t="shared" si="52"/>
        <v>370.6690741660039</v>
      </c>
      <c r="AB40" s="41">
        <f t="shared" si="53"/>
        <v>0</v>
      </c>
      <c r="AC40" s="41">
        <f t="shared" si="54"/>
        <v>0</v>
      </c>
      <c r="AD40" s="41">
        <f t="shared" si="55"/>
        <v>0</v>
      </c>
      <c r="AE40" s="41">
        <f t="shared" si="56"/>
        <v>0</v>
      </c>
      <c r="AF40" s="41">
        <f t="shared" si="57"/>
        <v>0</v>
      </c>
      <c r="AG40" s="41">
        <f t="shared" si="58"/>
        <v>0</v>
      </c>
      <c r="AH40" s="41">
        <f t="shared" si="59"/>
        <v>0</v>
      </c>
      <c r="AI40" s="41">
        <f t="shared" si="60"/>
        <v>0</v>
      </c>
      <c r="AJ40" s="41">
        <f t="shared" si="61"/>
        <v>0</v>
      </c>
      <c r="AK40" s="41">
        <f t="shared" si="62"/>
        <v>0</v>
      </c>
      <c r="AL40" s="41">
        <f t="shared" si="63"/>
        <v>0</v>
      </c>
      <c r="AM40" s="41">
        <f t="shared" si="64"/>
        <v>0</v>
      </c>
      <c r="AN40" s="41">
        <f t="shared" si="65"/>
        <v>0</v>
      </c>
      <c r="AO40" s="41">
        <f t="shared" si="66"/>
        <v>0</v>
      </c>
      <c r="AP40" s="41">
        <f t="shared" si="67"/>
        <v>0</v>
      </c>
      <c r="AQ40" s="41">
        <f t="shared" si="68"/>
        <v>0</v>
      </c>
      <c r="AR40" s="41">
        <f t="shared" si="69"/>
        <v>0</v>
      </c>
      <c r="AS40" s="41">
        <f t="shared" si="70"/>
        <v>111.20072224980116</v>
      </c>
      <c r="AT40" s="92">
        <f t="shared" si="27"/>
        <v>481.86979641580507</v>
      </c>
    </row>
    <row r="41" spans="2:46" s="3" customFormat="1" ht="12.75" x14ac:dyDescent="0.2">
      <c r="B41" s="12">
        <f t="shared" si="28"/>
        <v>15</v>
      </c>
      <c r="C41" s="13">
        <f t="shared" si="29"/>
        <v>0.59689061862480497</v>
      </c>
      <c r="D41" s="82">
        <f>IF($B41=V$21,'OBC Cost _Van Oord 2022'!$E$30,0)</f>
        <v>0</v>
      </c>
      <c r="E41" s="38">
        <f t="shared" si="30"/>
        <v>600</v>
      </c>
      <c r="F41" s="38"/>
      <c r="G41" s="38"/>
      <c r="H41" s="38"/>
      <c r="I41" s="38"/>
      <c r="J41" s="38"/>
      <c r="K41" s="38"/>
      <c r="L41" s="38"/>
      <c r="M41" s="38"/>
      <c r="N41" s="38"/>
      <c r="O41" s="38"/>
      <c r="P41" s="38"/>
      <c r="Q41" s="38"/>
      <c r="R41" s="38"/>
      <c r="S41" s="38"/>
      <c r="T41" s="38"/>
      <c r="U41" s="38"/>
      <c r="V41" s="38"/>
      <c r="W41" s="45">
        <f t="shared" si="71"/>
        <v>180</v>
      </c>
      <c r="X41" s="45"/>
      <c r="Y41" s="46">
        <f t="shared" si="6"/>
        <v>780</v>
      </c>
      <c r="Z41" s="41">
        <f t="shared" si="51"/>
        <v>0</v>
      </c>
      <c r="AA41" s="41">
        <f t="shared" si="52"/>
        <v>358.13437117488297</v>
      </c>
      <c r="AB41" s="41">
        <f t="shared" si="53"/>
        <v>0</v>
      </c>
      <c r="AC41" s="41">
        <f t="shared" si="54"/>
        <v>0</v>
      </c>
      <c r="AD41" s="41">
        <f t="shared" si="55"/>
        <v>0</v>
      </c>
      <c r="AE41" s="41">
        <f t="shared" si="56"/>
        <v>0</v>
      </c>
      <c r="AF41" s="41">
        <f t="shared" si="57"/>
        <v>0</v>
      </c>
      <c r="AG41" s="41">
        <f t="shared" si="58"/>
        <v>0</v>
      </c>
      <c r="AH41" s="41">
        <f t="shared" si="59"/>
        <v>0</v>
      </c>
      <c r="AI41" s="41">
        <f t="shared" si="60"/>
        <v>0</v>
      </c>
      <c r="AJ41" s="41">
        <f t="shared" si="61"/>
        <v>0</v>
      </c>
      <c r="AK41" s="41">
        <f t="shared" si="62"/>
        <v>0</v>
      </c>
      <c r="AL41" s="41">
        <f t="shared" si="63"/>
        <v>0</v>
      </c>
      <c r="AM41" s="41">
        <f t="shared" si="64"/>
        <v>0</v>
      </c>
      <c r="AN41" s="41">
        <f t="shared" si="65"/>
        <v>0</v>
      </c>
      <c r="AO41" s="41">
        <f t="shared" si="66"/>
        <v>0</v>
      </c>
      <c r="AP41" s="41">
        <f t="shared" si="67"/>
        <v>0</v>
      </c>
      <c r="AQ41" s="41">
        <f t="shared" si="68"/>
        <v>0</v>
      </c>
      <c r="AR41" s="41">
        <f t="shared" si="69"/>
        <v>0</v>
      </c>
      <c r="AS41" s="41">
        <f t="shared" si="70"/>
        <v>107.44031135246489</v>
      </c>
      <c r="AT41" s="92">
        <f t="shared" si="27"/>
        <v>465.57468252734787</v>
      </c>
    </row>
    <row r="42" spans="2:46" s="3" customFormat="1" ht="12.75" x14ac:dyDescent="0.2">
      <c r="B42" s="12">
        <f t="shared" si="28"/>
        <v>16</v>
      </c>
      <c r="C42" s="13">
        <f t="shared" si="29"/>
        <v>0.57670591171478747</v>
      </c>
      <c r="D42" s="82">
        <f>IF($B42=V$21,'OBC Cost _Van Oord 2022'!$E$30,0)</f>
        <v>0</v>
      </c>
      <c r="E42" s="38">
        <f t="shared" si="30"/>
        <v>600</v>
      </c>
      <c r="F42" s="38"/>
      <c r="G42" s="38"/>
      <c r="H42" s="38"/>
      <c r="I42" s="38"/>
      <c r="J42" s="38"/>
      <c r="K42" s="38"/>
      <c r="L42" s="38"/>
      <c r="M42" s="38"/>
      <c r="N42" s="38"/>
      <c r="O42" s="38"/>
      <c r="P42" s="38"/>
      <c r="Q42" s="38"/>
      <c r="R42" s="38"/>
      <c r="S42" s="38"/>
      <c r="T42" s="38"/>
      <c r="U42" s="38"/>
      <c r="V42" s="38"/>
      <c r="W42" s="45">
        <f t="shared" si="71"/>
        <v>180</v>
      </c>
      <c r="X42" s="45"/>
      <c r="Y42" s="46">
        <f t="shared" si="6"/>
        <v>780</v>
      </c>
      <c r="Z42" s="41">
        <f t="shared" si="51"/>
        <v>0</v>
      </c>
      <c r="AA42" s="41">
        <f t="shared" si="52"/>
        <v>346.02354702887249</v>
      </c>
      <c r="AB42" s="41">
        <f t="shared" si="53"/>
        <v>0</v>
      </c>
      <c r="AC42" s="41">
        <f t="shared" si="54"/>
        <v>0</v>
      </c>
      <c r="AD42" s="41">
        <f t="shared" si="55"/>
        <v>0</v>
      </c>
      <c r="AE42" s="41">
        <f t="shared" si="56"/>
        <v>0</v>
      </c>
      <c r="AF42" s="41">
        <f t="shared" si="57"/>
        <v>0</v>
      </c>
      <c r="AG42" s="41">
        <f t="shared" si="58"/>
        <v>0</v>
      </c>
      <c r="AH42" s="41">
        <f t="shared" si="59"/>
        <v>0</v>
      </c>
      <c r="AI42" s="41">
        <f t="shared" si="60"/>
        <v>0</v>
      </c>
      <c r="AJ42" s="41">
        <f t="shared" si="61"/>
        <v>0</v>
      </c>
      <c r="AK42" s="41">
        <f t="shared" si="62"/>
        <v>0</v>
      </c>
      <c r="AL42" s="41">
        <f t="shared" si="63"/>
        <v>0</v>
      </c>
      <c r="AM42" s="41">
        <f t="shared" si="64"/>
        <v>0</v>
      </c>
      <c r="AN42" s="41">
        <f t="shared" si="65"/>
        <v>0</v>
      </c>
      <c r="AO42" s="41">
        <f t="shared" si="66"/>
        <v>0</v>
      </c>
      <c r="AP42" s="41">
        <f t="shared" si="67"/>
        <v>0</v>
      </c>
      <c r="AQ42" s="41">
        <f t="shared" si="68"/>
        <v>0</v>
      </c>
      <c r="AR42" s="41">
        <f t="shared" si="69"/>
        <v>0</v>
      </c>
      <c r="AS42" s="41">
        <f t="shared" si="70"/>
        <v>103.80706410866175</v>
      </c>
      <c r="AT42" s="92">
        <f t="shared" si="27"/>
        <v>449.83061113753422</v>
      </c>
    </row>
    <row r="43" spans="2:46" s="3" customFormat="1" ht="12.75" x14ac:dyDescent="0.2">
      <c r="B43" s="12">
        <f t="shared" si="28"/>
        <v>17</v>
      </c>
      <c r="C43" s="13">
        <f t="shared" si="29"/>
        <v>0.55720377943457733</v>
      </c>
      <c r="D43" s="82">
        <f>IF($B43=V$21,'OBC Cost _Van Oord 2022'!$E$30,0)</f>
        <v>0</v>
      </c>
      <c r="E43" s="38">
        <f t="shared" si="30"/>
        <v>600</v>
      </c>
      <c r="F43" s="38"/>
      <c r="G43" s="38"/>
      <c r="H43" s="38"/>
      <c r="I43" s="38"/>
      <c r="J43" s="38"/>
      <c r="K43" s="38"/>
      <c r="L43" s="38"/>
      <c r="M43" s="38"/>
      <c r="N43" s="38"/>
      <c r="O43" s="38"/>
      <c r="P43" s="38"/>
      <c r="Q43" s="38"/>
      <c r="R43" s="38"/>
      <c r="S43" s="38"/>
      <c r="T43" s="38"/>
      <c r="U43" s="38"/>
      <c r="V43" s="38"/>
      <c r="W43" s="45">
        <f t="shared" si="71"/>
        <v>180</v>
      </c>
      <c r="X43" s="45"/>
      <c r="Y43" s="46">
        <f t="shared" si="6"/>
        <v>780</v>
      </c>
      <c r="Z43" s="41">
        <f t="shared" si="51"/>
        <v>0</v>
      </c>
      <c r="AA43" s="41">
        <f t="shared" si="52"/>
        <v>334.32226766074638</v>
      </c>
      <c r="AB43" s="41">
        <f t="shared" si="53"/>
        <v>0</v>
      </c>
      <c r="AC43" s="41">
        <f t="shared" si="54"/>
        <v>0</v>
      </c>
      <c r="AD43" s="41">
        <f t="shared" si="55"/>
        <v>0</v>
      </c>
      <c r="AE43" s="41">
        <f t="shared" si="56"/>
        <v>0</v>
      </c>
      <c r="AF43" s="41">
        <f t="shared" si="57"/>
        <v>0</v>
      </c>
      <c r="AG43" s="41">
        <f t="shared" si="58"/>
        <v>0</v>
      </c>
      <c r="AH43" s="41">
        <f t="shared" si="59"/>
        <v>0</v>
      </c>
      <c r="AI43" s="41">
        <f t="shared" si="60"/>
        <v>0</v>
      </c>
      <c r="AJ43" s="41">
        <f t="shared" si="61"/>
        <v>0</v>
      </c>
      <c r="AK43" s="41">
        <f t="shared" si="62"/>
        <v>0</v>
      </c>
      <c r="AL43" s="41">
        <f t="shared" si="63"/>
        <v>0</v>
      </c>
      <c r="AM43" s="41">
        <f t="shared" si="64"/>
        <v>0</v>
      </c>
      <c r="AN43" s="41">
        <f t="shared" si="65"/>
        <v>0</v>
      </c>
      <c r="AO43" s="41">
        <f t="shared" si="66"/>
        <v>0</v>
      </c>
      <c r="AP43" s="41">
        <f t="shared" si="67"/>
        <v>0</v>
      </c>
      <c r="AQ43" s="41">
        <f t="shared" si="68"/>
        <v>0</v>
      </c>
      <c r="AR43" s="41">
        <f t="shared" si="69"/>
        <v>0</v>
      </c>
      <c r="AS43" s="41">
        <f t="shared" si="70"/>
        <v>100.29668029822392</v>
      </c>
      <c r="AT43" s="92">
        <f t="shared" si="27"/>
        <v>434.6189479589703</v>
      </c>
    </row>
    <row r="44" spans="2:46" s="3" customFormat="1" ht="12.75" x14ac:dyDescent="0.2">
      <c r="B44" s="12">
        <f t="shared" si="28"/>
        <v>18</v>
      </c>
      <c r="C44" s="13">
        <f t="shared" si="29"/>
        <v>0.53836113955031628</v>
      </c>
      <c r="D44" s="82">
        <f>IF($B44=V$21,'OBC Cost _Van Oord 2022'!$E$30,0)</f>
        <v>0</v>
      </c>
      <c r="E44" s="38">
        <f t="shared" si="30"/>
        <v>87000</v>
      </c>
      <c r="F44" s="38"/>
      <c r="G44" s="38"/>
      <c r="H44" s="38"/>
      <c r="I44" s="38"/>
      <c r="J44" s="38"/>
      <c r="K44" s="38"/>
      <c r="L44" s="38"/>
      <c r="M44" s="38"/>
      <c r="N44" s="38"/>
      <c r="O44" s="38"/>
      <c r="P44" s="38"/>
      <c r="Q44" s="38"/>
      <c r="R44" s="38"/>
      <c r="S44" s="38"/>
      <c r="T44" s="38"/>
      <c r="U44" s="38"/>
      <c r="V44" s="38"/>
      <c r="W44" s="45">
        <f t="shared" si="71"/>
        <v>26100</v>
      </c>
      <c r="X44" s="45"/>
      <c r="Y44" s="46">
        <f t="shared" si="6"/>
        <v>113100</v>
      </c>
      <c r="Z44" s="41">
        <f t="shared" si="51"/>
        <v>0</v>
      </c>
      <c r="AA44" s="41">
        <f t="shared" si="52"/>
        <v>46837.419140877515</v>
      </c>
      <c r="AB44" s="41">
        <f t="shared" si="53"/>
        <v>0</v>
      </c>
      <c r="AC44" s="41">
        <f t="shared" si="54"/>
        <v>0</v>
      </c>
      <c r="AD44" s="41">
        <f t="shared" si="55"/>
        <v>0</v>
      </c>
      <c r="AE44" s="41">
        <f t="shared" si="56"/>
        <v>0</v>
      </c>
      <c r="AF44" s="41">
        <f t="shared" si="57"/>
        <v>0</v>
      </c>
      <c r="AG44" s="41">
        <f t="shared" si="58"/>
        <v>0</v>
      </c>
      <c r="AH44" s="41">
        <f t="shared" si="59"/>
        <v>0</v>
      </c>
      <c r="AI44" s="41">
        <f t="shared" si="60"/>
        <v>0</v>
      </c>
      <c r="AJ44" s="41">
        <f t="shared" si="61"/>
        <v>0</v>
      </c>
      <c r="AK44" s="41">
        <f t="shared" si="62"/>
        <v>0</v>
      </c>
      <c r="AL44" s="41">
        <f t="shared" si="63"/>
        <v>0</v>
      </c>
      <c r="AM44" s="41">
        <f t="shared" si="64"/>
        <v>0</v>
      </c>
      <c r="AN44" s="41">
        <f t="shared" si="65"/>
        <v>0</v>
      </c>
      <c r="AO44" s="41">
        <f t="shared" si="66"/>
        <v>0</v>
      </c>
      <c r="AP44" s="41">
        <f t="shared" si="67"/>
        <v>0</v>
      </c>
      <c r="AQ44" s="41">
        <f t="shared" si="68"/>
        <v>0</v>
      </c>
      <c r="AR44" s="41">
        <f t="shared" si="69"/>
        <v>0</v>
      </c>
      <c r="AS44" s="41">
        <f t="shared" si="70"/>
        <v>14051.225742263256</v>
      </c>
      <c r="AT44" s="92">
        <f t="shared" si="27"/>
        <v>60888.644883140769</v>
      </c>
    </row>
    <row r="45" spans="2:46" s="3" customFormat="1" ht="12.75" x14ac:dyDescent="0.2">
      <c r="B45" s="12">
        <f t="shared" si="28"/>
        <v>19</v>
      </c>
      <c r="C45" s="13">
        <f t="shared" si="29"/>
        <v>0.520155690386779</v>
      </c>
      <c r="D45" s="82">
        <f>IF($B45=V$21,'OBC Cost _Van Oord 2022'!$E$30,0)</f>
        <v>0</v>
      </c>
      <c r="E45" s="38">
        <f t="shared" si="30"/>
        <v>600</v>
      </c>
      <c r="F45" s="38"/>
      <c r="G45" s="38"/>
      <c r="H45" s="38"/>
      <c r="I45" s="38"/>
      <c r="J45" s="38"/>
      <c r="K45" s="38"/>
      <c r="L45" s="38"/>
      <c r="M45" s="38"/>
      <c r="N45" s="38"/>
      <c r="O45" s="38"/>
      <c r="P45" s="38"/>
      <c r="Q45" s="38"/>
      <c r="R45" s="38"/>
      <c r="S45" s="38"/>
      <c r="T45" s="38"/>
      <c r="U45" s="38"/>
      <c r="V45" s="38"/>
      <c r="W45" s="45">
        <f t="shared" si="71"/>
        <v>180</v>
      </c>
      <c r="X45" s="45"/>
      <c r="Y45" s="46">
        <f t="shared" si="6"/>
        <v>780</v>
      </c>
      <c r="Z45" s="41">
        <f t="shared" si="51"/>
        <v>0</v>
      </c>
      <c r="AA45" s="41">
        <f t="shared" si="52"/>
        <v>312.0934142320674</v>
      </c>
      <c r="AB45" s="41">
        <f t="shared" si="53"/>
        <v>0</v>
      </c>
      <c r="AC45" s="41">
        <f t="shared" si="54"/>
        <v>0</v>
      </c>
      <c r="AD45" s="41">
        <f t="shared" si="55"/>
        <v>0</v>
      </c>
      <c r="AE45" s="41">
        <f t="shared" si="56"/>
        <v>0</v>
      </c>
      <c r="AF45" s="41">
        <f t="shared" si="57"/>
        <v>0</v>
      </c>
      <c r="AG45" s="41">
        <f t="shared" si="58"/>
        <v>0</v>
      </c>
      <c r="AH45" s="41">
        <f t="shared" si="59"/>
        <v>0</v>
      </c>
      <c r="AI45" s="41">
        <f t="shared" si="60"/>
        <v>0</v>
      </c>
      <c r="AJ45" s="41">
        <f t="shared" si="61"/>
        <v>0</v>
      </c>
      <c r="AK45" s="41">
        <f t="shared" si="62"/>
        <v>0</v>
      </c>
      <c r="AL45" s="41">
        <f t="shared" si="63"/>
        <v>0</v>
      </c>
      <c r="AM45" s="41">
        <f t="shared" si="64"/>
        <v>0</v>
      </c>
      <c r="AN45" s="41">
        <f t="shared" si="65"/>
        <v>0</v>
      </c>
      <c r="AO45" s="41">
        <f t="shared" si="66"/>
        <v>0</v>
      </c>
      <c r="AP45" s="41">
        <f t="shared" si="67"/>
        <v>0</v>
      </c>
      <c r="AQ45" s="41">
        <f t="shared" si="68"/>
        <v>0</v>
      </c>
      <c r="AR45" s="41">
        <f t="shared" si="69"/>
        <v>0</v>
      </c>
      <c r="AS45" s="41">
        <f t="shared" si="70"/>
        <v>93.628024269620227</v>
      </c>
      <c r="AT45" s="92">
        <f t="shared" si="27"/>
        <v>405.72143850168766</v>
      </c>
    </row>
    <row r="46" spans="2:46" s="3" customFormat="1" ht="13.5" customHeight="1" x14ac:dyDescent="0.2">
      <c r="B46" s="12">
        <f t="shared" si="28"/>
        <v>20</v>
      </c>
      <c r="C46" s="13">
        <f t="shared" si="29"/>
        <v>0.50256588443167061</v>
      </c>
      <c r="D46" s="82">
        <f>IF($B46=V$21,'OBC Cost _Van Oord 2022'!$E$30,0)</f>
        <v>0</v>
      </c>
      <c r="E46" s="38">
        <f t="shared" si="30"/>
        <v>600</v>
      </c>
      <c r="F46" s="38"/>
      <c r="G46" s="38"/>
      <c r="H46" s="38"/>
      <c r="I46" s="38"/>
      <c r="J46" s="38"/>
      <c r="K46" s="38"/>
      <c r="L46" s="38"/>
      <c r="M46" s="38"/>
      <c r="N46" s="38"/>
      <c r="O46" s="38"/>
      <c r="P46" s="38"/>
      <c r="Q46" s="38"/>
      <c r="R46" s="38"/>
      <c r="S46" s="38"/>
      <c r="T46" s="38"/>
      <c r="U46" s="38"/>
      <c r="V46" s="38"/>
      <c r="W46" s="45">
        <f t="shared" si="71"/>
        <v>180</v>
      </c>
      <c r="X46" s="45"/>
      <c r="Y46" s="46">
        <f t="shared" si="6"/>
        <v>780</v>
      </c>
      <c r="Z46" s="41">
        <f t="shared" si="51"/>
        <v>0</v>
      </c>
      <c r="AA46" s="41">
        <f t="shared" si="52"/>
        <v>301.53953065900237</v>
      </c>
      <c r="AB46" s="41">
        <f t="shared" si="53"/>
        <v>0</v>
      </c>
      <c r="AC46" s="41">
        <f t="shared" si="54"/>
        <v>0</v>
      </c>
      <c r="AD46" s="41">
        <f t="shared" si="55"/>
        <v>0</v>
      </c>
      <c r="AE46" s="41">
        <f t="shared" si="56"/>
        <v>0</v>
      </c>
      <c r="AF46" s="41">
        <f t="shared" si="57"/>
        <v>0</v>
      </c>
      <c r="AG46" s="41">
        <f t="shared" si="58"/>
        <v>0</v>
      </c>
      <c r="AH46" s="41">
        <f t="shared" si="59"/>
        <v>0</v>
      </c>
      <c r="AI46" s="41">
        <f t="shared" si="60"/>
        <v>0</v>
      </c>
      <c r="AJ46" s="41">
        <f t="shared" si="61"/>
        <v>0</v>
      </c>
      <c r="AK46" s="41">
        <f t="shared" si="62"/>
        <v>0</v>
      </c>
      <c r="AL46" s="41">
        <f t="shared" si="63"/>
        <v>0</v>
      </c>
      <c r="AM46" s="41">
        <f t="shared" si="64"/>
        <v>0</v>
      </c>
      <c r="AN46" s="41">
        <f t="shared" si="65"/>
        <v>0</v>
      </c>
      <c r="AO46" s="41">
        <f t="shared" si="66"/>
        <v>0</v>
      </c>
      <c r="AP46" s="41">
        <f t="shared" si="67"/>
        <v>0</v>
      </c>
      <c r="AQ46" s="41">
        <f t="shared" si="68"/>
        <v>0</v>
      </c>
      <c r="AR46" s="41">
        <f t="shared" si="69"/>
        <v>0</v>
      </c>
      <c r="AS46" s="41">
        <f t="shared" si="70"/>
        <v>90.461859197700704</v>
      </c>
      <c r="AT46" s="92">
        <f t="shared" si="27"/>
        <v>392.0013898567031</v>
      </c>
    </row>
    <row r="47" spans="2:46" s="3" customFormat="1" ht="13.5" customHeight="1" x14ac:dyDescent="0.2">
      <c r="B47" s="12">
        <f t="shared" si="28"/>
        <v>21</v>
      </c>
      <c r="C47" s="13">
        <f t="shared" si="29"/>
        <v>0.48557090283253201</v>
      </c>
      <c r="D47" s="82">
        <f>IF($B47=V$21,'OBC Cost _Van Oord 2022'!$E$30,0)</f>
        <v>0</v>
      </c>
      <c r="E47" s="38">
        <f t="shared" si="30"/>
        <v>600</v>
      </c>
      <c r="F47" s="38"/>
      <c r="G47" s="38"/>
      <c r="H47" s="38"/>
      <c r="I47" s="38"/>
      <c r="J47" s="38"/>
      <c r="K47" s="38"/>
      <c r="L47" s="38"/>
      <c r="M47" s="38"/>
      <c r="N47" s="38"/>
      <c r="O47" s="38"/>
      <c r="P47" s="38"/>
      <c r="Q47" s="38"/>
      <c r="R47" s="38"/>
      <c r="S47" s="38"/>
      <c r="T47" s="38"/>
      <c r="U47" s="38"/>
      <c r="V47" s="38"/>
      <c r="W47" s="45">
        <f t="shared" si="71"/>
        <v>180</v>
      </c>
      <c r="X47" s="45"/>
      <c r="Y47" s="46">
        <f t="shared" si="6"/>
        <v>780</v>
      </c>
      <c r="Z47" s="41">
        <f t="shared" si="51"/>
        <v>0</v>
      </c>
      <c r="AA47" s="41">
        <f t="shared" si="52"/>
        <v>291.34254169951919</v>
      </c>
      <c r="AB47" s="41">
        <f t="shared" si="53"/>
        <v>0</v>
      </c>
      <c r="AC47" s="41">
        <f t="shared" si="54"/>
        <v>0</v>
      </c>
      <c r="AD47" s="41">
        <f t="shared" si="55"/>
        <v>0</v>
      </c>
      <c r="AE47" s="41">
        <f t="shared" si="56"/>
        <v>0</v>
      </c>
      <c r="AF47" s="41">
        <f t="shared" si="57"/>
        <v>0</v>
      </c>
      <c r="AG47" s="41">
        <f t="shared" si="58"/>
        <v>0</v>
      </c>
      <c r="AH47" s="41">
        <f t="shared" si="59"/>
        <v>0</v>
      </c>
      <c r="AI47" s="41">
        <f t="shared" si="60"/>
        <v>0</v>
      </c>
      <c r="AJ47" s="41">
        <f t="shared" si="61"/>
        <v>0</v>
      </c>
      <c r="AK47" s="41">
        <f t="shared" si="62"/>
        <v>0</v>
      </c>
      <c r="AL47" s="41">
        <f t="shared" si="63"/>
        <v>0</v>
      </c>
      <c r="AM47" s="41">
        <f t="shared" si="64"/>
        <v>0</v>
      </c>
      <c r="AN47" s="41">
        <f t="shared" si="65"/>
        <v>0</v>
      </c>
      <c r="AO47" s="41">
        <f t="shared" si="66"/>
        <v>0</v>
      </c>
      <c r="AP47" s="41">
        <f t="shared" si="67"/>
        <v>0</v>
      </c>
      <c r="AQ47" s="41">
        <f t="shared" si="68"/>
        <v>0</v>
      </c>
      <c r="AR47" s="41">
        <f t="shared" si="69"/>
        <v>0</v>
      </c>
      <c r="AS47" s="41">
        <f t="shared" si="70"/>
        <v>87.402762509855762</v>
      </c>
      <c r="AT47" s="92">
        <f t="shared" si="27"/>
        <v>378.74530420937492</v>
      </c>
    </row>
    <row r="48" spans="2:46" s="3" customFormat="1" ht="12.75" x14ac:dyDescent="0.2">
      <c r="B48" s="12">
        <f t="shared" si="28"/>
        <v>22</v>
      </c>
      <c r="C48" s="13">
        <f t="shared" si="29"/>
        <v>0.46915063075606961</v>
      </c>
      <c r="D48" s="82">
        <f>IF($B48=V$21,'OBC Cost _Van Oord 2022'!$E$30,0)</f>
        <v>0</v>
      </c>
      <c r="E48" s="38">
        <f t="shared" si="30"/>
        <v>600</v>
      </c>
      <c r="F48" s="38"/>
      <c r="G48" s="38"/>
      <c r="H48" s="38"/>
      <c r="I48" s="38"/>
      <c r="J48" s="38"/>
      <c r="K48" s="38"/>
      <c r="L48" s="38"/>
      <c r="M48" s="38"/>
      <c r="N48" s="38"/>
      <c r="O48" s="38"/>
      <c r="P48" s="38"/>
      <c r="Q48" s="38"/>
      <c r="R48" s="38"/>
      <c r="S48" s="38"/>
      <c r="T48" s="38"/>
      <c r="U48" s="38"/>
      <c r="V48" s="38"/>
      <c r="W48" s="45">
        <f t="shared" si="71"/>
        <v>180</v>
      </c>
      <c r="X48" s="45"/>
      <c r="Y48" s="46">
        <f t="shared" si="6"/>
        <v>780</v>
      </c>
      <c r="Z48" s="41">
        <f t="shared" si="51"/>
        <v>0</v>
      </c>
      <c r="AA48" s="41">
        <f t="shared" si="52"/>
        <v>281.49037845364177</v>
      </c>
      <c r="AB48" s="41">
        <f t="shared" si="53"/>
        <v>0</v>
      </c>
      <c r="AC48" s="41">
        <f t="shared" si="54"/>
        <v>0</v>
      </c>
      <c r="AD48" s="41">
        <f t="shared" si="55"/>
        <v>0</v>
      </c>
      <c r="AE48" s="41">
        <f t="shared" si="56"/>
        <v>0</v>
      </c>
      <c r="AF48" s="41">
        <f t="shared" si="57"/>
        <v>0</v>
      </c>
      <c r="AG48" s="41">
        <f t="shared" si="58"/>
        <v>0</v>
      </c>
      <c r="AH48" s="41">
        <f t="shared" si="59"/>
        <v>0</v>
      </c>
      <c r="AI48" s="41">
        <f t="shared" si="60"/>
        <v>0</v>
      </c>
      <c r="AJ48" s="41">
        <f t="shared" si="61"/>
        <v>0</v>
      </c>
      <c r="AK48" s="41">
        <f t="shared" si="62"/>
        <v>0</v>
      </c>
      <c r="AL48" s="41">
        <f t="shared" si="63"/>
        <v>0</v>
      </c>
      <c r="AM48" s="41">
        <f t="shared" si="64"/>
        <v>0</v>
      </c>
      <c r="AN48" s="41">
        <f t="shared" si="65"/>
        <v>0</v>
      </c>
      <c r="AO48" s="41">
        <f t="shared" si="66"/>
        <v>0</v>
      </c>
      <c r="AP48" s="41">
        <f t="shared" si="67"/>
        <v>0</v>
      </c>
      <c r="AQ48" s="41">
        <f t="shared" si="68"/>
        <v>0</v>
      </c>
      <c r="AR48" s="41">
        <f t="shared" si="69"/>
        <v>0</v>
      </c>
      <c r="AS48" s="41">
        <f t="shared" si="70"/>
        <v>84.44711353609253</v>
      </c>
      <c r="AT48" s="92">
        <f t="shared" si="27"/>
        <v>365.93749198973433</v>
      </c>
    </row>
    <row r="49" spans="2:46" s="3" customFormat="1" ht="12.75" x14ac:dyDescent="0.2">
      <c r="B49" s="12">
        <f t="shared" si="28"/>
        <v>23</v>
      </c>
      <c r="C49" s="13">
        <f t="shared" si="29"/>
        <v>0.45328563358074364</v>
      </c>
      <c r="D49" s="82">
        <f>IF($B49=V$21,'OBC Cost _Van Oord 2022'!$E$30,0)</f>
        <v>0</v>
      </c>
      <c r="E49" s="38">
        <f t="shared" si="30"/>
        <v>202130</v>
      </c>
      <c r="F49" s="38"/>
      <c r="G49" s="38"/>
      <c r="H49" s="38"/>
      <c r="I49" s="38"/>
      <c r="J49" s="38"/>
      <c r="K49" s="38"/>
      <c r="L49" s="38"/>
      <c r="M49" s="38"/>
      <c r="N49" s="38"/>
      <c r="O49" s="38"/>
      <c r="P49" s="38"/>
      <c r="Q49" s="38"/>
      <c r="R49" s="38"/>
      <c r="S49" s="38"/>
      <c r="T49" s="38"/>
      <c r="U49" s="38"/>
      <c r="V49" s="38"/>
      <c r="W49" s="45">
        <f t="shared" si="71"/>
        <v>60639</v>
      </c>
      <c r="X49" s="45"/>
      <c r="Y49" s="46">
        <f t="shared" si="6"/>
        <v>262769</v>
      </c>
      <c r="Z49" s="41">
        <f t="shared" si="51"/>
        <v>0</v>
      </c>
      <c r="AA49" s="41">
        <f t="shared" si="52"/>
        <v>91622.625115675706</v>
      </c>
      <c r="AB49" s="41">
        <f t="shared" si="53"/>
        <v>0</v>
      </c>
      <c r="AC49" s="41">
        <f t="shared" si="54"/>
        <v>0</v>
      </c>
      <c r="AD49" s="41">
        <f t="shared" si="55"/>
        <v>0</v>
      </c>
      <c r="AE49" s="41">
        <f t="shared" si="56"/>
        <v>0</v>
      </c>
      <c r="AF49" s="41">
        <f t="shared" si="57"/>
        <v>0</v>
      </c>
      <c r="AG49" s="41">
        <f t="shared" si="58"/>
        <v>0</v>
      </c>
      <c r="AH49" s="41">
        <f t="shared" si="59"/>
        <v>0</v>
      </c>
      <c r="AI49" s="41">
        <f t="shared" si="60"/>
        <v>0</v>
      </c>
      <c r="AJ49" s="41">
        <f t="shared" si="61"/>
        <v>0</v>
      </c>
      <c r="AK49" s="41">
        <f t="shared" si="62"/>
        <v>0</v>
      </c>
      <c r="AL49" s="41">
        <f t="shared" si="63"/>
        <v>0</v>
      </c>
      <c r="AM49" s="41">
        <f t="shared" si="64"/>
        <v>0</v>
      </c>
      <c r="AN49" s="41">
        <f t="shared" si="65"/>
        <v>0</v>
      </c>
      <c r="AO49" s="41">
        <f t="shared" si="66"/>
        <v>0</v>
      </c>
      <c r="AP49" s="41">
        <f t="shared" si="67"/>
        <v>0</v>
      </c>
      <c r="AQ49" s="41">
        <f t="shared" si="68"/>
        <v>0</v>
      </c>
      <c r="AR49" s="41">
        <f t="shared" si="69"/>
        <v>0</v>
      </c>
      <c r="AS49" s="41">
        <f t="shared" si="70"/>
        <v>27486.787534702715</v>
      </c>
      <c r="AT49" s="92">
        <f t="shared" si="27"/>
        <v>119109.41265037842</v>
      </c>
    </row>
    <row r="50" spans="2:46" s="3" customFormat="1" ht="12.75" x14ac:dyDescent="0.2">
      <c r="B50" s="12">
        <f t="shared" si="28"/>
        <v>24</v>
      </c>
      <c r="C50" s="13">
        <f t="shared" si="29"/>
        <v>0.43795713389443836</v>
      </c>
      <c r="D50" s="82">
        <f>IF($B50=V$21,'OBC Cost _Van Oord 2022'!$E$30,0)</f>
        <v>0</v>
      </c>
      <c r="E50" s="38">
        <f t="shared" si="30"/>
        <v>600</v>
      </c>
      <c r="F50" s="38"/>
      <c r="G50" s="38"/>
      <c r="H50" s="38"/>
      <c r="I50" s="38"/>
      <c r="J50" s="38"/>
      <c r="K50" s="38"/>
      <c r="L50" s="38"/>
      <c r="M50" s="38"/>
      <c r="N50" s="38"/>
      <c r="O50" s="38"/>
      <c r="P50" s="38"/>
      <c r="Q50" s="38"/>
      <c r="R50" s="38"/>
      <c r="S50" s="38"/>
      <c r="T50" s="38"/>
      <c r="U50" s="38"/>
      <c r="V50" s="38"/>
      <c r="W50" s="45">
        <f t="shared" si="71"/>
        <v>180</v>
      </c>
      <c r="X50" s="45"/>
      <c r="Y50" s="46">
        <f t="shared" si="6"/>
        <v>780</v>
      </c>
      <c r="Z50" s="41">
        <f t="shared" si="51"/>
        <v>0</v>
      </c>
      <c r="AA50" s="41">
        <f t="shared" si="52"/>
        <v>262.77428033666303</v>
      </c>
      <c r="AB50" s="41">
        <f t="shared" si="53"/>
        <v>0</v>
      </c>
      <c r="AC50" s="41">
        <f t="shared" si="54"/>
        <v>0</v>
      </c>
      <c r="AD50" s="41">
        <f t="shared" si="55"/>
        <v>0</v>
      </c>
      <c r="AE50" s="41">
        <f t="shared" si="56"/>
        <v>0</v>
      </c>
      <c r="AF50" s="41">
        <f t="shared" si="57"/>
        <v>0</v>
      </c>
      <c r="AG50" s="41">
        <f t="shared" si="58"/>
        <v>0</v>
      </c>
      <c r="AH50" s="41">
        <f t="shared" si="59"/>
        <v>0</v>
      </c>
      <c r="AI50" s="41">
        <f t="shared" si="60"/>
        <v>0</v>
      </c>
      <c r="AJ50" s="41">
        <f t="shared" si="61"/>
        <v>0</v>
      </c>
      <c r="AK50" s="41">
        <f t="shared" si="62"/>
        <v>0</v>
      </c>
      <c r="AL50" s="41">
        <f t="shared" si="63"/>
        <v>0</v>
      </c>
      <c r="AM50" s="41">
        <f t="shared" si="64"/>
        <v>0</v>
      </c>
      <c r="AN50" s="41">
        <f t="shared" si="65"/>
        <v>0</v>
      </c>
      <c r="AO50" s="41">
        <f t="shared" si="66"/>
        <v>0</v>
      </c>
      <c r="AP50" s="41">
        <f t="shared" si="67"/>
        <v>0</v>
      </c>
      <c r="AQ50" s="41">
        <f t="shared" si="68"/>
        <v>0</v>
      </c>
      <c r="AR50" s="41">
        <f t="shared" si="69"/>
        <v>0</v>
      </c>
      <c r="AS50" s="41">
        <f t="shared" si="70"/>
        <v>78.832284100998905</v>
      </c>
      <c r="AT50" s="92">
        <f t="shared" si="27"/>
        <v>341.60656443766192</v>
      </c>
    </row>
    <row r="51" spans="2:46" s="3" customFormat="1" ht="12.75" x14ac:dyDescent="0.2">
      <c r="B51" s="12">
        <f t="shared" si="28"/>
        <v>25</v>
      </c>
      <c r="C51" s="13">
        <f t="shared" si="29"/>
        <v>0.42314698926998878</v>
      </c>
      <c r="D51" s="82">
        <f>IF($B51=V$21,'OBC Cost _Van Oord 2022'!$E$30,0)</f>
        <v>0</v>
      </c>
      <c r="E51" s="38">
        <f t="shared" si="30"/>
        <v>600</v>
      </c>
      <c r="F51" s="38"/>
      <c r="G51" s="38"/>
      <c r="H51" s="38"/>
      <c r="I51" s="38"/>
      <c r="J51" s="38"/>
      <c r="K51" s="38"/>
      <c r="L51" s="38"/>
      <c r="M51" s="38"/>
      <c r="N51" s="38"/>
      <c r="O51" s="38"/>
      <c r="P51" s="38"/>
      <c r="Q51" s="38"/>
      <c r="R51" s="38"/>
      <c r="S51" s="38"/>
      <c r="T51" s="38"/>
      <c r="U51" s="38"/>
      <c r="V51" s="38"/>
      <c r="W51" s="45">
        <f t="shared" si="71"/>
        <v>180</v>
      </c>
      <c r="X51" s="45"/>
      <c r="Y51" s="46">
        <f t="shared" si="6"/>
        <v>780</v>
      </c>
      <c r="Z51" s="41">
        <f t="shared" si="51"/>
        <v>0</v>
      </c>
      <c r="AA51" s="41">
        <f t="shared" si="52"/>
        <v>253.88819356199326</v>
      </c>
      <c r="AB51" s="41">
        <f t="shared" si="53"/>
        <v>0</v>
      </c>
      <c r="AC51" s="41">
        <f t="shared" si="54"/>
        <v>0</v>
      </c>
      <c r="AD51" s="41">
        <f t="shared" si="55"/>
        <v>0</v>
      </c>
      <c r="AE51" s="41">
        <f t="shared" si="56"/>
        <v>0</v>
      </c>
      <c r="AF51" s="41">
        <f t="shared" si="57"/>
        <v>0</v>
      </c>
      <c r="AG51" s="41">
        <f t="shared" si="58"/>
        <v>0</v>
      </c>
      <c r="AH51" s="41">
        <f t="shared" si="59"/>
        <v>0</v>
      </c>
      <c r="AI51" s="41">
        <f t="shared" si="60"/>
        <v>0</v>
      </c>
      <c r="AJ51" s="41">
        <f t="shared" si="61"/>
        <v>0</v>
      </c>
      <c r="AK51" s="41">
        <f t="shared" si="62"/>
        <v>0</v>
      </c>
      <c r="AL51" s="41">
        <f t="shared" si="63"/>
        <v>0</v>
      </c>
      <c r="AM51" s="41">
        <f t="shared" si="64"/>
        <v>0</v>
      </c>
      <c r="AN51" s="41">
        <f t="shared" si="65"/>
        <v>0</v>
      </c>
      <c r="AO51" s="41">
        <f t="shared" si="66"/>
        <v>0</v>
      </c>
      <c r="AP51" s="41">
        <f t="shared" si="67"/>
        <v>0</v>
      </c>
      <c r="AQ51" s="41">
        <f t="shared" si="68"/>
        <v>0</v>
      </c>
      <c r="AR51" s="41">
        <f t="shared" si="69"/>
        <v>0</v>
      </c>
      <c r="AS51" s="41">
        <f t="shared" si="70"/>
        <v>76.166458068597976</v>
      </c>
      <c r="AT51" s="92">
        <f t="shared" si="27"/>
        <v>330.05465163059125</v>
      </c>
    </row>
    <row r="52" spans="2:46" s="3" customFormat="1" ht="12.75" x14ac:dyDescent="0.2">
      <c r="B52" s="12">
        <f t="shared" si="28"/>
        <v>26</v>
      </c>
      <c r="C52" s="13">
        <f t="shared" si="29"/>
        <v>0.40883767079225974</v>
      </c>
      <c r="D52" s="82">
        <f>IF($B52=V$21,'OBC Cost _Van Oord 2022'!$E$30,0)</f>
        <v>0</v>
      </c>
      <c r="E52" s="38">
        <f t="shared" si="30"/>
        <v>600</v>
      </c>
      <c r="F52" s="38"/>
      <c r="G52" s="38"/>
      <c r="H52" s="38"/>
      <c r="I52" s="38"/>
      <c r="J52" s="38"/>
      <c r="K52" s="38"/>
      <c r="L52" s="38"/>
      <c r="M52" s="38"/>
      <c r="N52" s="38"/>
      <c r="O52" s="38"/>
      <c r="P52" s="38"/>
      <c r="Q52" s="38"/>
      <c r="R52" s="38"/>
      <c r="S52" s="38"/>
      <c r="T52" s="38"/>
      <c r="U52" s="38"/>
      <c r="V52" s="38"/>
      <c r="W52" s="45">
        <f t="shared" si="71"/>
        <v>180</v>
      </c>
      <c r="X52" s="45"/>
      <c r="Y52" s="46">
        <f t="shared" si="6"/>
        <v>780</v>
      </c>
      <c r="Z52" s="41">
        <f t="shared" si="51"/>
        <v>0</v>
      </c>
      <c r="AA52" s="41">
        <f t="shared" si="52"/>
        <v>245.30260247535585</v>
      </c>
      <c r="AB52" s="41">
        <f t="shared" si="53"/>
        <v>0</v>
      </c>
      <c r="AC52" s="41">
        <f t="shared" si="54"/>
        <v>0</v>
      </c>
      <c r="AD52" s="41">
        <f t="shared" si="55"/>
        <v>0</v>
      </c>
      <c r="AE52" s="41">
        <f t="shared" si="56"/>
        <v>0</v>
      </c>
      <c r="AF52" s="41">
        <f t="shared" si="57"/>
        <v>0</v>
      </c>
      <c r="AG52" s="41">
        <f t="shared" si="58"/>
        <v>0</v>
      </c>
      <c r="AH52" s="41">
        <f t="shared" si="59"/>
        <v>0</v>
      </c>
      <c r="AI52" s="41">
        <f t="shared" si="60"/>
        <v>0</v>
      </c>
      <c r="AJ52" s="41">
        <f t="shared" si="61"/>
        <v>0</v>
      </c>
      <c r="AK52" s="41">
        <f t="shared" si="62"/>
        <v>0</v>
      </c>
      <c r="AL52" s="41">
        <f t="shared" si="63"/>
        <v>0</v>
      </c>
      <c r="AM52" s="41">
        <f t="shared" si="64"/>
        <v>0</v>
      </c>
      <c r="AN52" s="41">
        <f t="shared" si="65"/>
        <v>0</v>
      </c>
      <c r="AO52" s="41">
        <f t="shared" si="66"/>
        <v>0</v>
      </c>
      <c r="AP52" s="41">
        <f t="shared" si="67"/>
        <v>0</v>
      </c>
      <c r="AQ52" s="41">
        <f t="shared" si="68"/>
        <v>0</v>
      </c>
      <c r="AR52" s="41">
        <f t="shared" si="69"/>
        <v>0</v>
      </c>
      <c r="AS52" s="41">
        <f t="shared" si="70"/>
        <v>73.590780742606754</v>
      </c>
      <c r="AT52" s="92">
        <f t="shared" si="27"/>
        <v>318.89338321796259</v>
      </c>
    </row>
    <row r="53" spans="2:46" s="3" customFormat="1" ht="12.75" x14ac:dyDescent="0.2">
      <c r="B53" s="12">
        <f t="shared" si="28"/>
        <v>27</v>
      </c>
      <c r="C53" s="13">
        <f t="shared" si="29"/>
        <v>0.39501224231136212</v>
      </c>
      <c r="D53" s="82">
        <f>IF($B53=V$21,'OBC Cost _Van Oord 2022'!$E$30,0)</f>
        <v>0</v>
      </c>
      <c r="E53" s="38">
        <f t="shared" si="30"/>
        <v>600</v>
      </c>
      <c r="F53" s="38"/>
      <c r="G53" s="38"/>
      <c r="H53" s="38"/>
      <c r="I53" s="38"/>
      <c r="J53" s="38"/>
      <c r="K53" s="38"/>
      <c r="L53" s="38"/>
      <c r="M53" s="38"/>
      <c r="N53" s="38"/>
      <c r="O53" s="38"/>
      <c r="P53" s="38"/>
      <c r="Q53" s="38"/>
      <c r="R53" s="38"/>
      <c r="S53" s="38"/>
      <c r="T53" s="38"/>
      <c r="U53" s="38"/>
      <c r="V53" s="38"/>
      <c r="W53" s="45">
        <f t="shared" si="71"/>
        <v>180</v>
      </c>
      <c r="X53" s="45"/>
      <c r="Y53" s="46">
        <f t="shared" si="6"/>
        <v>780</v>
      </c>
      <c r="Z53" s="41">
        <f t="shared" si="51"/>
        <v>0</v>
      </c>
      <c r="AA53" s="41">
        <f t="shared" si="52"/>
        <v>237.00734538681726</v>
      </c>
      <c r="AB53" s="41">
        <f t="shared" si="53"/>
        <v>0</v>
      </c>
      <c r="AC53" s="41">
        <f t="shared" si="54"/>
        <v>0</v>
      </c>
      <c r="AD53" s="41">
        <f t="shared" si="55"/>
        <v>0</v>
      </c>
      <c r="AE53" s="41">
        <f t="shared" si="56"/>
        <v>0</v>
      </c>
      <c r="AF53" s="41">
        <f t="shared" si="57"/>
        <v>0</v>
      </c>
      <c r="AG53" s="41">
        <f t="shared" si="58"/>
        <v>0</v>
      </c>
      <c r="AH53" s="41">
        <f t="shared" si="59"/>
        <v>0</v>
      </c>
      <c r="AI53" s="41">
        <f t="shared" si="60"/>
        <v>0</v>
      </c>
      <c r="AJ53" s="41">
        <f t="shared" si="61"/>
        <v>0</v>
      </c>
      <c r="AK53" s="41">
        <f t="shared" si="62"/>
        <v>0</v>
      </c>
      <c r="AL53" s="41">
        <f t="shared" si="63"/>
        <v>0</v>
      </c>
      <c r="AM53" s="41">
        <f t="shared" si="64"/>
        <v>0</v>
      </c>
      <c r="AN53" s="41">
        <f t="shared" si="65"/>
        <v>0</v>
      </c>
      <c r="AO53" s="41">
        <f t="shared" si="66"/>
        <v>0</v>
      </c>
      <c r="AP53" s="41">
        <f t="shared" si="67"/>
        <v>0</v>
      </c>
      <c r="AQ53" s="41">
        <f t="shared" si="68"/>
        <v>0</v>
      </c>
      <c r="AR53" s="41">
        <f t="shared" si="69"/>
        <v>0</v>
      </c>
      <c r="AS53" s="41">
        <f t="shared" si="70"/>
        <v>71.102203616045188</v>
      </c>
      <c r="AT53" s="92">
        <f t="shared" si="27"/>
        <v>308.10954900286242</v>
      </c>
    </row>
    <row r="54" spans="2:46" s="3" customFormat="1" ht="12.75" x14ac:dyDescent="0.2">
      <c r="B54" s="12">
        <f t="shared" si="28"/>
        <v>28</v>
      </c>
      <c r="C54" s="13">
        <f t="shared" si="29"/>
        <v>0.38165434039745133</v>
      </c>
      <c r="D54" s="82">
        <f>IF($B54=V$21,'OBC Cost _Van Oord 2022'!$E$30,0)</f>
        <v>0</v>
      </c>
      <c r="E54" s="38">
        <f t="shared" si="30"/>
        <v>87000</v>
      </c>
      <c r="F54" s="38"/>
      <c r="G54" s="38"/>
      <c r="H54" s="38"/>
      <c r="I54" s="38"/>
      <c r="J54" s="38"/>
      <c r="K54" s="38"/>
      <c r="L54" s="38"/>
      <c r="M54" s="38"/>
      <c r="N54" s="38"/>
      <c r="O54" s="38"/>
      <c r="P54" s="38"/>
      <c r="Q54" s="38"/>
      <c r="R54" s="38"/>
      <c r="S54" s="38"/>
      <c r="T54" s="38"/>
      <c r="U54" s="38"/>
      <c r="V54" s="38"/>
      <c r="W54" s="45">
        <f t="shared" si="71"/>
        <v>26100</v>
      </c>
      <c r="X54" s="45"/>
      <c r="Y54" s="46">
        <f t="shared" si="6"/>
        <v>113100</v>
      </c>
      <c r="Z54" s="41">
        <f t="shared" si="51"/>
        <v>0</v>
      </c>
      <c r="AA54" s="41">
        <f t="shared" si="52"/>
        <v>33203.927614578264</v>
      </c>
      <c r="AB54" s="41">
        <f t="shared" si="53"/>
        <v>0</v>
      </c>
      <c r="AC54" s="41">
        <f t="shared" si="54"/>
        <v>0</v>
      </c>
      <c r="AD54" s="41">
        <f t="shared" si="55"/>
        <v>0</v>
      </c>
      <c r="AE54" s="41">
        <f t="shared" si="56"/>
        <v>0</v>
      </c>
      <c r="AF54" s="41">
        <f t="shared" si="57"/>
        <v>0</v>
      </c>
      <c r="AG54" s="41">
        <f t="shared" si="58"/>
        <v>0</v>
      </c>
      <c r="AH54" s="41">
        <f t="shared" si="59"/>
        <v>0</v>
      </c>
      <c r="AI54" s="41">
        <f t="shared" si="60"/>
        <v>0</v>
      </c>
      <c r="AJ54" s="41">
        <f t="shared" si="61"/>
        <v>0</v>
      </c>
      <c r="AK54" s="41">
        <f t="shared" si="62"/>
        <v>0</v>
      </c>
      <c r="AL54" s="41">
        <f t="shared" si="63"/>
        <v>0</v>
      </c>
      <c r="AM54" s="41">
        <f t="shared" si="64"/>
        <v>0</v>
      </c>
      <c r="AN54" s="41">
        <f t="shared" si="65"/>
        <v>0</v>
      </c>
      <c r="AO54" s="41">
        <f t="shared" si="66"/>
        <v>0</v>
      </c>
      <c r="AP54" s="41">
        <f t="shared" si="67"/>
        <v>0</v>
      </c>
      <c r="AQ54" s="41">
        <f t="shared" si="68"/>
        <v>0</v>
      </c>
      <c r="AR54" s="41">
        <f t="shared" si="69"/>
        <v>0</v>
      </c>
      <c r="AS54" s="41">
        <f t="shared" si="70"/>
        <v>9961.17828437348</v>
      </c>
      <c r="AT54" s="92">
        <f t="shared" si="27"/>
        <v>43165.105898951748</v>
      </c>
    </row>
    <row r="55" spans="2:46" s="3" customFormat="1" ht="12.75" x14ac:dyDescent="0.2">
      <c r="B55" s="12">
        <f t="shared" si="28"/>
        <v>29</v>
      </c>
      <c r="C55" s="13">
        <f t="shared" si="29"/>
        <v>0.36874815497338298</v>
      </c>
      <c r="D55" s="82">
        <f>IF($B55=V$21,'OBC Cost _Van Oord 2022'!$E$30,0)</f>
        <v>0</v>
      </c>
      <c r="E55" s="38">
        <f t="shared" si="30"/>
        <v>600</v>
      </c>
      <c r="F55" s="38"/>
      <c r="G55" s="38"/>
      <c r="H55" s="38"/>
      <c r="I55" s="38"/>
      <c r="J55" s="38"/>
      <c r="K55" s="38"/>
      <c r="L55" s="38"/>
      <c r="M55" s="38"/>
      <c r="N55" s="38"/>
      <c r="O55" s="38"/>
      <c r="P55" s="38"/>
      <c r="Q55" s="38"/>
      <c r="R55" s="38"/>
      <c r="S55" s="38"/>
      <c r="T55" s="38"/>
      <c r="U55" s="38"/>
      <c r="V55" s="38"/>
      <c r="W55" s="45">
        <f t="shared" si="71"/>
        <v>180</v>
      </c>
      <c r="X55" s="45"/>
      <c r="Y55" s="46">
        <f t="shared" si="6"/>
        <v>780</v>
      </c>
      <c r="Z55" s="41">
        <f t="shared" si="51"/>
        <v>0</v>
      </c>
      <c r="AA55" s="41">
        <f t="shared" si="52"/>
        <v>221.24889298402979</v>
      </c>
      <c r="AB55" s="41">
        <f t="shared" si="53"/>
        <v>0</v>
      </c>
      <c r="AC55" s="41">
        <f t="shared" si="54"/>
        <v>0</v>
      </c>
      <c r="AD55" s="41">
        <f t="shared" si="55"/>
        <v>0</v>
      </c>
      <c r="AE55" s="41">
        <f t="shared" si="56"/>
        <v>0</v>
      </c>
      <c r="AF55" s="41">
        <f t="shared" si="57"/>
        <v>0</v>
      </c>
      <c r="AG55" s="41">
        <f t="shared" si="58"/>
        <v>0</v>
      </c>
      <c r="AH55" s="41">
        <f t="shared" si="59"/>
        <v>0</v>
      </c>
      <c r="AI55" s="41">
        <f t="shared" si="60"/>
        <v>0</v>
      </c>
      <c r="AJ55" s="41">
        <f t="shared" si="61"/>
        <v>0</v>
      </c>
      <c r="AK55" s="41">
        <f t="shared" si="62"/>
        <v>0</v>
      </c>
      <c r="AL55" s="41">
        <f t="shared" si="63"/>
        <v>0</v>
      </c>
      <c r="AM55" s="41">
        <f t="shared" si="64"/>
        <v>0</v>
      </c>
      <c r="AN55" s="41">
        <f t="shared" si="65"/>
        <v>0</v>
      </c>
      <c r="AO55" s="41">
        <f t="shared" si="66"/>
        <v>0</v>
      </c>
      <c r="AP55" s="41">
        <f t="shared" si="67"/>
        <v>0</v>
      </c>
      <c r="AQ55" s="41">
        <f t="shared" si="68"/>
        <v>0</v>
      </c>
      <c r="AR55" s="41">
        <f t="shared" si="69"/>
        <v>0</v>
      </c>
      <c r="AS55" s="41">
        <f t="shared" si="70"/>
        <v>66.37466789520893</v>
      </c>
      <c r="AT55" s="92">
        <f t="shared" si="27"/>
        <v>287.62356087923871</v>
      </c>
    </row>
    <row r="56" spans="2:46" s="3" customFormat="1" ht="12.75" x14ac:dyDescent="0.2">
      <c r="B56" s="12">
        <f t="shared" si="28"/>
        <v>30</v>
      </c>
      <c r="C56" s="13">
        <f t="shared" si="29"/>
        <v>0.35627841060230242</v>
      </c>
      <c r="D56" s="82">
        <f>IF($B56=V$21,'OBC Cost _Van Oord 2022'!$E$30,0)</f>
        <v>0</v>
      </c>
      <c r="E56" s="38">
        <f t="shared" si="30"/>
        <v>600</v>
      </c>
      <c r="F56" s="38"/>
      <c r="G56" s="38"/>
      <c r="H56" s="38"/>
      <c r="I56" s="38"/>
      <c r="J56" s="38"/>
      <c r="K56" s="38"/>
      <c r="L56" s="38"/>
      <c r="M56" s="38"/>
      <c r="N56" s="38"/>
      <c r="O56" s="38"/>
      <c r="P56" s="38"/>
      <c r="Q56" s="38"/>
      <c r="R56" s="38"/>
      <c r="S56" s="38"/>
      <c r="T56" s="38"/>
      <c r="U56" s="38"/>
      <c r="V56" s="38"/>
      <c r="W56" s="45">
        <f t="shared" si="71"/>
        <v>180</v>
      </c>
      <c r="X56" s="45"/>
      <c r="Y56" s="46">
        <f t="shared" si="6"/>
        <v>780</v>
      </c>
      <c r="Z56" s="41">
        <f t="shared" si="51"/>
        <v>0</v>
      </c>
      <c r="AA56" s="41">
        <f t="shared" si="52"/>
        <v>213.76704636138146</v>
      </c>
      <c r="AB56" s="41">
        <f t="shared" si="53"/>
        <v>0</v>
      </c>
      <c r="AC56" s="41">
        <f t="shared" si="54"/>
        <v>0</v>
      </c>
      <c r="AD56" s="41">
        <f t="shared" si="55"/>
        <v>0</v>
      </c>
      <c r="AE56" s="41">
        <f t="shared" si="56"/>
        <v>0</v>
      </c>
      <c r="AF56" s="41">
        <f t="shared" si="57"/>
        <v>0</v>
      </c>
      <c r="AG56" s="41">
        <f t="shared" si="58"/>
        <v>0</v>
      </c>
      <c r="AH56" s="41">
        <f t="shared" si="59"/>
        <v>0</v>
      </c>
      <c r="AI56" s="41">
        <f t="shared" si="60"/>
        <v>0</v>
      </c>
      <c r="AJ56" s="41">
        <f t="shared" si="61"/>
        <v>0</v>
      </c>
      <c r="AK56" s="41">
        <f t="shared" si="62"/>
        <v>0</v>
      </c>
      <c r="AL56" s="41">
        <f t="shared" si="63"/>
        <v>0</v>
      </c>
      <c r="AM56" s="41">
        <f t="shared" si="64"/>
        <v>0</v>
      </c>
      <c r="AN56" s="41">
        <f t="shared" si="65"/>
        <v>0</v>
      </c>
      <c r="AO56" s="41">
        <f t="shared" si="66"/>
        <v>0</v>
      </c>
      <c r="AP56" s="41">
        <f t="shared" si="67"/>
        <v>0</v>
      </c>
      <c r="AQ56" s="41">
        <f t="shared" si="68"/>
        <v>0</v>
      </c>
      <c r="AR56" s="41">
        <f t="shared" si="69"/>
        <v>0</v>
      </c>
      <c r="AS56" s="41">
        <f t="shared" si="70"/>
        <v>64.13011390841443</v>
      </c>
      <c r="AT56" s="92">
        <f t="shared" si="27"/>
        <v>277.8971602697959</v>
      </c>
    </row>
    <row r="57" spans="2:46" s="3" customFormat="1" ht="12.75" x14ac:dyDescent="0.2">
      <c r="B57" s="12">
        <f t="shared" si="28"/>
        <v>31</v>
      </c>
      <c r="C57" s="13">
        <f t="shared" ref="C57:C101" si="72">C56/(1+$E$8-0.5%)</f>
        <v>0.34590136951679845</v>
      </c>
      <c r="D57" s="82">
        <f>IF($B57=V$21,'OBC Cost _Van Oord 2022'!$E$30,0)</f>
        <v>0</v>
      </c>
      <c r="E57" s="38">
        <f t="shared" si="30"/>
        <v>600</v>
      </c>
      <c r="F57" s="38"/>
      <c r="G57" s="38"/>
      <c r="H57" s="38"/>
      <c r="I57" s="38"/>
      <c r="J57" s="38"/>
      <c r="K57" s="38"/>
      <c r="L57" s="38"/>
      <c r="M57" s="38"/>
      <c r="N57" s="38"/>
      <c r="O57" s="38"/>
      <c r="P57" s="38"/>
      <c r="Q57" s="38"/>
      <c r="R57" s="38"/>
      <c r="S57" s="38"/>
      <c r="T57" s="38"/>
      <c r="U57" s="38"/>
      <c r="V57" s="38"/>
      <c r="W57" s="45">
        <f t="shared" si="71"/>
        <v>180</v>
      </c>
      <c r="X57" s="45"/>
      <c r="Y57" s="46">
        <f t="shared" si="6"/>
        <v>780</v>
      </c>
      <c r="Z57" s="41">
        <f t="shared" si="51"/>
        <v>0</v>
      </c>
      <c r="AA57" s="41">
        <f t="shared" si="52"/>
        <v>207.54082171007906</v>
      </c>
      <c r="AB57" s="41">
        <f t="shared" si="53"/>
        <v>0</v>
      </c>
      <c r="AC57" s="41">
        <f t="shared" si="54"/>
        <v>0</v>
      </c>
      <c r="AD57" s="41">
        <f t="shared" si="55"/>
        <v>0</v>
      </c>
      <c r="AE57" s="41">
        <f t="shared" si="56"/>
        <v>0</v>
      </c>
      <c r="AF57" s="41">
        <f t="shared" si="57"/>
        <v>0</v>
      </c>
      <c r="AG57" s="41">
        <f t="shared" si="58"/>
        <v>0</v>
      </c>
      <c r="AH57" s="41">
        <f t="shared" si="59"/>
        <v>0</v>
      </c>
      <c r="AI57" s="41">
        <f t="shared" si="60"/>
        <v>0</v>
      </c>
      <c r="AJ57" s="41">
        <f t="shared" si="61"/>
        <v>0</v>
      </c>
      <c r="AK57" s="41">
        <f t="shared" si="62"/>
        <v>0</v>
      </c>
      <c r="AL57" s="41">
        <f t="shared" si="63"/>
        <v>0</v>
      </c>
      <c r="AM57" s="41">
        <f t="shared" si="64"/>
        <v>0</v>
      </c>
      <c r="AN57" s="41">
        <f t="shared" si="65"/>
        <v>0</v>
      </c>
      <c r="AO57" s="41">
        <f t="shared" si="66"/>
        <v>0</v>
      </c>
      <c r="AP57" s="41">
        <f t="shared" si="67"/>
        <v>0</v>
      </c>
      <c r="AQ57" s="41">
        <f t="shared" si="68"/>
        <v>0</v>
      </c>
      <c r="AR57" s="41">
        <f t="shared" si="69"/>
        <v>0</v>
      </c>
      <c r="AS57" s="41">
        <f t="shared" si="70"/>
        <v>62.262246513023719</v>
      </c>
      <c r="AT57" s="92">
        <f t="shared" si="27"/>
        <v>269.8030682231028</v>
      </c>
    </row>
    <row r="58" spans="2:46" s="3" customFormat="1" ht="12.75" x14ac:dyDescent="0.2">
      <c r="B58" s="12">
        <f t="shared" si="28"/>
        <v>32</v>
      </c>
      <c r="C58" s="13">
        <f t="shared" si="72"/>
        <v>0.33582657234640628</v>
      </c>
      <c r="D58" s="82">
        <f>IF($B58=V$21,'OBC Cost _Van Oord 2022'!$E$30,0)</f>
        <v>0</v>
      </c>
      <c r="E58" s="38">
        <f t="shared" si="30"/>
        <v>600</v>
      </c>
      <c r="F58" s="38"/>
      <c r="G58" s="38"/>
      <c r="H58" s="38"/>
      <c r="I58" s="38"/>
      <c r="J58" s="38"/>
      <c r="K58" s="38"/>
      <c r="L58" s="38"/>
      <c r="M58" s="38"/>
      <c r="N58" s="38"/>
      <c r="O58" s="38"/>
      <c r="P58" s="38"/>
      <c r="Q58" s="38"/>
      <c r="R58" s="38"/>
      <c r="S58" s="38"/>
      <c r="T58" s="38"/>
      <c r="U58" s="38"/>
      <c r="V58" s="38"/>
      <c r="W58" s="45">
        <f t="shared" si="71"/>
        <v>180</v>
      </c>
      <c r="X58" s="45"/>
      <c r="Y58" s="46">
        <f t="shared" ref="Y58:Y121" si="73">SUM(D58:X58)</f>
        <v>780</v>
      </c>
      <c r="Z58" s="41">
        <f t="shared" si="51"/>
        <v>0</v>
      </c>
      <c r="AA58" s="41">
        <f t="shared" si="52"/>
        <v>201.49594340784378</v>
      </c>
      <c r="AB58" s="41">
        <f t="shared" si="53"/>
        <v>0</v>
      </c>
      <c r="AC58" s="41">
        <f t="shared" si="54"/>
        <v>0</v>
      </c>
      <c r="AD58" s="41">
        <f t="shared" si="55"/>
        <v>0</v>
      </c>
      <c r="AE58" s="41">
        <f t="shared" si="56"/>
        <v>0</v>
      </c>
      <c r="AF58" s="41">
        <f t="shared" si="57"/>
        <v>0</v>
      </c>
      <c r="AG58" s="41">
        <f t="shared" si="58"/>
        <v>0</v>
      </c>
      <c r="AH58" s="41">
        <f t="shared" si="59"/>
        <v>0</v>
      </c>
      <c r="AI58" s="41">
        <f t="shared" si="60"/>
        <v>0</v>
      </c>
      <c r="AJ58" s="41">
        <f t="shared" si="61"/>
        <v>0</v>
      </c>
      <c r="AK58" s="41">
        <f t="shared" si="62"/>
        <v>0</v>
      </c>
      <c r="AL58" s="41">
        <f t="shared" si="63"/>
        <v>0</v>
      </c>
      <c r="AM58" s="41">
        <f t="shared" si="64"/>
        <v>0</v>
      </c>
      <c r="AN58" s="41">
        <f t="shared" si="65"/>
        <v>0</v>
      </c>
      <c r="AO58" s="41">
        <f t="shared" si="66"/>
        <v>0</v>
      </c>
      <c r="AP58" s="41">
        <f t="shared" si="67"/>
        <v>0</v>
      </c>
      <c r="AQ58" s="41">
        <f t="shared" si="68"/>
        <v>0</v>
      </c>
      <c r="AR58" s="41">
        <f t="shared" si="69"/>
        <v>0</v>
      </c>
      <c r="AS58" s="41">
        <f t="shared" si="70"/>
        <v>60.448783022353133</v>
      </c>
      <c r="AT58" s="92">
        <f t="shared" ref="AT58:AT121" si="74">SUM(Z58:AS58)</f>
        <v>261.94472643019691</v>
      </c>
    </row>
    <row r="59" spans="2:46" s="3" customFormat="1" ht="12.75" x14ac:dyDescent="0.2">
      <c r="B59" s="12">
        <f t="shared" si="28"/>
        <v>33</v>
      </c>
      <c r="C59" s="13">
        <f t="shared" si="72"/>
        <v>0.32604521587029733</v>
      </c>
      <c r="D59" s="82">
        <f>IF($B59=V$21,'OBC Cost _Van Oord 2022'!$E$30,0)</f>
        <v>0</v>
      </c>
      <c r="E59" s="38">
        <f t="shared" si="30"/>
        <v>302130</v>
      </c>
      <c r="F59" s="38"/>
      <c r="G59" s="38"/>
      <c r="H59" s="38"/>
      <c r="I59" s="38"/>
      <c r="J59" s="38"/>
      <c r="K59" s="38"/>
      <c r="L59" s="38"/>
      <c r="M59" s="38"/>
      <c r="N59" s="38"/>
      <c r="O59" s="38"/>
      <c r="P59" s="38"/>
      <c r="Q59" s="38"/>
      <c r="R59" s="38"/>
      <c r="S59" s="38"/>
      <c r="T59" s="38"/>
      <c r="U59" s="38"/>
      <c r="V59" s="38"/>
      <c r="W59" s="45">
        <f t="shared" si="71"/>
        <v>90639</v>
      </c>
      <c r="X59" s="45"/>
      <c r="Y59" s="46">
        <f t="shared" si="73"/>
        <v>392769</v>
      </c>
      <c r="Z59" s="41">
        <f t="shared" si="51"/>
        <v>0</v>
      </c>
      <c r="AA59" s="41">
        <f t="shared" si="52"/>
        <v>98508.041070892927</v>
      </c>
      <c r="AB59" s="41">
        <f t="shared" si="53"/>
        <v>0</v>
      </c>
      <c r="AC59" s="41">
        <f t="shared" si="54"/>
        <v>0</v>
      </c>
      <c r="AD59" s="41">
        <f t="shared" si="55"/>
        <v>0</v>
      </c>
      <c r="AE59" s="41">
        <f t="shared" si="56"/>
        <v>0</v>
      </c>
      <c r="AF59" s="41">
        <f t="shared" si="57"/>
        <v>0</v>
      </c>
      <c r="AG59" s="41">
        <f t="shared" si="58"/>
        <v>0</v>
      </c>
      <c r="AH59" s="41">
        <f t="shared" si="59"/>
        <v>0</v>
      </c>
      <c r="AI59" s="41">
        <f t="shared" si="60"/>
        <v>0</v>
      </c>
      <c r="AJ59" s="41">
        <f t="shared" si="61"/>
        <v>0</v>
      </c>
      <c r="AK59" s="41">
        <f t="shared" si="62"/>
        <v>0</v>
      </c>
      <c r="AL59" s="41">
        <f t="shared" si="63"/>
        <v>0</v>
      </c>
      <c r="AM59" s="41">
        <f t="shared" si="64"/>
        <v>0</v>
      </c>
      <c r="AN59" s="41">
        <f t="shared" si="65"/>
        <v>0</v>
      </c>
      <c r="AO59" s="41">
        <f t="shared" si="66"/>
        <v>0</v>
      </c>
      <c r="AP59" s="41">
        <f t="shared" si="67"/>
        <v>0</v>
      </c>
      <c r="AQ59" s="41">
        <f t="shared" si="68"/>
        <v>0</v>
      </c>
      <c r="AR59" s="41">
        <f t="shared" si="69"/>
        <v>0</v>
      </c>
      <c r="AS59" s="41">
        <f t="shared" si="70"/>
        <v>29552.412321267879</v>
      </c>
      <c r="AT59" s="92">
        <f t="shared" si="74"/>
        <v>128060.45339216081</v>
      </c>
    </row>
    <row r="60" spans="2:46" s="3" customFormat="1" ht="12.75" x14ac:dyDescent="0.2">
      <c r="B60" s="12">
        <f t="shared" si="28"/>
        <v>34</v>
      </c>
      <c r="C60" s="13">
        <f t="shared" si="72"/>
        <v>0.31654875327213333</v>
      </c>
      <c r="D60" s="82">
        <f>IF($B60=V$21,'OBC Cost _Van Oord 2022'!$E$30,0)</f>
        <v>0</v>
      </c>
      <c r="E60" s="38">
        <f t="shared" si="30"/>
        <v>600</v>
      </c>
      <c r="F60" s="38"/>
      <c r="G60" s="38"/>
      <c r="H60" s="38"/>
      <c r="I60" s="38"/>
      <c r="J60" s="38"/>
      <c r="K60" s="38"/>
      <c r="L60" s="38"/>
      <c r="M60" s="38"/>
      <c r="N60" s="38"/>
      <c r="O60" s="38"/>
      <c r="P60" s="38"/>
      <c r="Q60" s="38"/>
      <c r="R60" s="38"/>
      <c r="S60" s="38"/>
      <c r="T60" s="38"/>
      <c r="U60" s="38"/>
      <c r="V60" s="38"/>
      <c r="W60" s="45">
        <f t="shared" si="71"/>
        <v>180</v>
      </c>
      <c r="X60" s="45"/>
      <c r="Y60" s="46">
        <f t="shared" si="73"/>
        <v>780</v>
      </c>
      <c r="Z60" s="41">
        <f t="shared" si="51"/>
        <v>0</v>
      </c>
      <c r="AA60" s="41">
        <f t="shared" si="52"/>
        <v>189.92925196328</v>
      </c>
      <c r="AB60" s="41">
        <f t="shared" si="53"/>
        <v>0</v>
      </c>
      <c r="AC60" s="41">
        <f t="shared" si="54"/>
        <v>0</v>
      </c>
      <c r="AD60" s="41">
        <f t="shared" si="55"/>
        <v>0</v>
      </c>
      <c r="AE60" s="41">
        <f t="shared" si="56"/>
        <v>0</v>
      </c>
      <c r="AF60" s="41">
        <f t="shared" si="57"/>
        <v>0</v>
      </c>
      <c r="AG60" s="41">
        <f t="shared" si="58"/>
        <v>0</v>
      </c>
      <c r="AH60" s="41">
        <f t="shared" si="59"/>
        <v>0</v>
      </c>
      <c r="AI60" s="41">
        <f t="shared" si="60"/>
        <v>0</v>
      </c>
      <c r="AJ60" s="41">
        <f t="shared" si="61"/>
        <v>0</v>
      </c>
      <c r="AK60" s="41">
        <f t="shared" si="62"/>
        <v>0</v>
      </c>
      <c r="AL60" s="41">
        <f t="shared" si="63"/>
        <v>0</v>
      </c>
      <c r="AM60" s="41">
        <f t="shared" si="64"/>
        <v>0</v>
      </c>
      <c r="AN60" s="41">
        <f t="shared" si="65"/>
        <v>0</v>
      </c>
      <c r="AO60" s="41">
        <f t="shared" si="66"/>
        <v>0</v>
      </c>
      <c r="AP60" s="41">
        <f t="shared" si="67"/>
        <v>0</v>
      </c>
      <c r="AQ60" s="41">
        <f t="shared" si="68"/>
        <v>0</v>
      </c>
      <c r="AR60" s="41">
        <f t="shared" si="69"/>
        <v>0</v>
      </c>
      <c r="AS60" s="41">
        <f t="shared" si="70"/>
        <v>56.978775588984</v>
      </c>
      <c r="AT60" s="92">
        <f t="shared" si="74"/>
        <v>246.908027552264</v>
      </c>
    </row>
    <row r="61" spans="2:46" s="3" customFormat="1" ht="12.75" x14ac:dyDescent="0.2">
      <c r="B61" s="12">
        <f t="shared" si="28"/>
        <v>35</v>
      </c>
      <c r="C61" s="13">
        <f t="shared" si="72"/>
        <v>0.30732888667197411</v>
      </c>
      <c r="D61" s="82">
        <f>IF($B61=V$21,'OBC Cost _Van Oord 2022'!$E$30,0)</f>
        <v>0</v>
      </c>
      <c r="E61" s="38">
        <f t="shared" si="30"/>
        <v>600</v>
      </c>
      <c r="F61" s="38"/>
      <c r="G61" s="38"/>
      <c r="H61" s="38"/>
      <c r="I61" s="38"/>
      <c r="J61" s="38"/>
      <c r="K61" s="38"/>
      <c r="L61" s="38"/>
      <c r="M61" s="38"/>
      <c r="N61" s="38"/>
      <c r="O61" s="38"/>
      <c r="P61" s="38"/>
      <c r="Q61" s="38"/>
      <c r="R61" s="38"/>
      <c r="S61" s="38"/>
      <c r="T61" s="38"/>
      <c r="U61" s="38"/>
      <c r="V61" s="38"/>
      <c r="W61" s="45">
        <f t="shared" si="71"/>
        <v>180</v>
      </c>
      <c r="X61" s="45"/>
      <c r="Y61" s="46">
        <f t="shared" si="73"/>
        <v>780</v>
      </c>
      <c r="Z61" s="41">
        <f t="shared" si="51"/>
        <v>0</v>
      </c>
      <c r="AA61" s="41">
        <f t="shared" si="52"/>
        <v>184.39733200318446</v>
      </c>
      <c r="AB61" s="41">
        <f t="shared" si="53"/>
        <v>0</v>
      </c>
      <c r="AC61" s="41">
        <f t="shared" si="54"/>
        <v>0</v>
      </c>
      <c r="AD61" s="41">
        <f t="shared" si="55"/>
        <v>0</v>
      </c>
      <c r="AE61" s="41">
        <f t="shared" si="56"/>
        <v>0</v>
      </c>
      <c r="AF61" s="41">
        <f t="shared" si="57"/>
        <v>0</v>
      </c>
      <c r="AG61" s="41">
        <f t="shared" si="58"/>
        <v>0</v>
      </c>
      <c r="AH61" s="41">
        <f t="shared" si="59"/>
        <v>0</v>
      </c>
      <c r="AI61" s="41">
        <f t="shared" si="60"/>
        <v>0</v>
      </c>
      <c r="AJ61" s="41">
        <f t="shared" si="61"/>
        <v>0</v>
      </c>
      <c r="AK61" s="41">
        <f t="shared" si="62"/>
        <v>0</v>
      </c>
      <c r="AL61" s="41">
        <f t="shared" si="63"/>
        <v>0</v>
      </c>
      <c r="AM61" s="41">
        <f t="shared" si="64"/>
        <v>0</v>
      </c>
      <c r="AN61" s="41">
        <f t="shared" si="65"/>
        <v>0</v>
      </c>
      <c r="AO61" s="41">
        <f t="shared" si="66"/>
        <v>0</v>
      </c>
      <c r="AP61" s="41">
        <f t="shared" si="67"/>
        <v>0</v>
      </c>
      <c r="AQ61" s="41">
        <f t="shared" si="68"/>
        <v>0</v>
      </c>
      <c r="AR61" s="41">
        <f t="shared" si="69"/>
        <v>0</v>
      </c>
      <c r="AS61" s="41">
        <f t="shared" si="70"/>
        <v>55.319199600955343</v>
      </c>
      <c r="AT61" s="92">
        <f t="shared" si="74"/>
        <v>239.71653160413979</v>
      </c>
    </row>
    <row r="62" spans="2:46" s="3" customFormat="1" ht="12.75" x14ac:dyDescent="0.2">
      <c r="B62" s="12">
        <f t="shared" si="28"/>
        <v>36</v>
      </c>
      <c r="C62" s="13">
        <f t="shared" si="72"/>
        <v>0.29837755987570302</v>
      </c>
      <c r="D62" s="82">
        <f>IF($B62=V$21,'OBC Cost _Van Oord 2022'!$E$30,0)</f>
        <v>0</v>
      </c>
      <c r="E62" s="38">
        <f t="shared" si="30"/>
        <v>600</v>
      </c>
      <c r="F62" s="38"/>
      <c r="G62" s="38"/>
      <c r="H62" s="38"/>
      <c r="I62" s="38"/>
      <c r="J62" s="38"/>
      <c r="K62" s="38"/>
      <c r="L62" s="38"/>
      <c r="M62" s="38"/>
      <c r="N62" s="38"/>
      <c r="O62" s="38"/>
      <c r="P62" s="38"/>
      <c r="Q62" s="38"/>
      <c r="R62" s="38"/>
      <c r="S62" s="38"/>
      <c r="T62" s="38"/>
      <c r="U62" s="38"/>
      <c r="V62" s="38"/>
      <c r="W62" s="45">
        <f t="shared" si="71"/>
        <v>180</v>
      </c>
      <c r="X62" s="45"/>
      <c r="Y62" s="46">
        <f t="shared" si="73"/>
        <v>780</v>
      </c>
      <c r="Z62" s="41">
        <f t="shared" si="51"/>
        <v>0</v>
      </c>
      <c r="AA62" s="41">
        <f t="shared" si="52"/>
        <v>179.02653592542183</v>
      </c>
      <c r="AB62" s="41">
        <f t="shared" si="53"/>
        <v>0</v>
      </c>
      <c r="AC62" s="41">
        <f t="shared" si="54"/>
        <v>0</v>
      </c>
      <c r="AD62" s="41">
        <f t="shared" si="55"/>
        <v>0</v>
      </c>
      <c r="AE62" s="41">
        <f t="shared" si="56"/>
        <v>0</v>
      </c>
      <c r="AF62" s="41">
        <f t="shared" si="57"/>
        <v>0</v>
      </c>
      <c r="AG62" s="41">
        <f t="shared" si="58"/>
        <v>0</v>
      </c>
      <c r="AH62" s="41">
        <f t="shared" si="59"/>
        <v>0</v>
      </c>
      <c r="AI62" s="41">
        <f t="shared" si="60"/>
        <v>0</v>
      </c>
      <c r="AJ62" s="41">
        <f t="shared" si="61"/>
        <v>0</v>
      </c>
      <c r="AK62" s="41">
        <f t="shared" si="62"/>
        <v>0</v>
      </c>
      <c r="AL62" s="41">
        <f t="shared" si="63"/>
        <v>0</v>
      </c>
      <c r="AM62" s="41">
        <f t="shared" si="64"/>
        <v>0</v>
      </c>
      <c r="AN62" s="41">
        <f t="shared" si="65"/>
        <v>0</v>
      </c>
      <c r="AO62" s="41">
        <f t="shared" si="66"/>
        <v>0</v>
      </c>
      <c r="AP62" s="41">
        <f t="shared" si="67"/>
        <v>0</v>
      </c>
      <c r="AQ62" s="41">
        <f t="shared" si="68"/>
        <v>0</v>
      </c>
      <c r="AR62" s="41">
        <f t="shared" si="69"/>
        <v>0</v>
      </c>
      <c r="AS62" s="41">
        <f t="shared" si="70"/>
        <v>53.707960777626546</v>
      </c>
      <c r="AT62" s="92">
        <f t="shared" si="74"/>
        <v>232.73449670304836</v>
      </c>
    </row>
    <row r="63" spans="2:46" s="3" customFormat="1" ht="12.75" x14ac:dyDescent="0.2">
      <c r="B63" s="12">
        <f t="shared" si="28"/>
        <v>37</v>
      </c>
      <c r="C63" s="13">
        <f t="shared" si="72"/>
        <v>0.28968695133563399</v>
      </c>
      <c r="D63" s="82">
        <f>IF($B63=V$21,'OBC Cost _Van Oord 2022'!$E$30,0)</f>
        <v>0</v>
      </c>
      <c r="E63" s="38">
        <f t="shared" si="30"/>
        <v>600</v>
      </c>
      <c r="F63" s="38"/>
      <c r="G63" s="38"/>
      <c r="H63" s="38"/>
      <c r="I63" s="38"/>
      <c r="J63" s="38"/>
      <c r="K63" s="38"/>
      <c r="L63" s="38"/>
      <c r="M63" s="38"/>
      <c r="N63" s="38"/>
      <c r="O63" s="38"/>
      <c r="P63" s="38"/>
      <c r="Q63" s="38"/>
      <c r="R63" s="38"/>
      <c r="S63" s="38"/>
      <c r="T63" s="38"/>
      <c r="U63" s="38"/>
      <c r="V63" s="38"/>
      <c r="W63" s="45">
        <f t="shared" si="71"/>
        <v>180</v>
      </c>
      <c r="X63" s="45"/>
      <c r="Y63" s="46">
        <f t="shared" si="73"/>
        <v>780</v>
      </c>
      <c r="Z63" s="41">
        <f t="shared" si="51"/>
        <v>0</v>
      </c>
      <c r="AA63" s="41">
        <f t="shared" si="52"/>
        <v>173.8121708013804</v>
      </c>
      <c r="AB63" s="41">
        <f t="shared" si="53"/>
        <v>0</v>
      </c>
      <c r="AC63" s="41">
        <f t="shared" si="54"/>
        <v>0</v>
      </c>
      <c r="AD63" s="41">
        <f t="shared" si="55"/>
        <v>0</v>
      </c>
      <c r="AE63" s="41">
        <f t="shared" si="56"/>
        <v>0</v>
      </c>
      <c r="AF63" s="41">
        <f t="shared" si="57"/>
        <v>0</v>
      </c>
      <c r="AG63" s="41">
        <f t="shared" si="58"/>
        <v>0</v>
      </c>
      <c r="AH63" s="41">
        <f t="shared" si="59"/>
        <v>0</v>
      </c>
      <c r="AI63" s="41">
        <f t="shared" si="60"/>
        <v>0</v>
      </c>
      <c r="AJ63" s="41">
        <f t="shared" si="61"/>
        <v>0</v>
      </c>
      <c r="AK63" s="41">
        <f t="shared" si="62"/>
        <v>0</v>
      </c>
      <c r="AL63" s="41">
        <f t="shared" si="63"/>
        <v>0</v>
      </c>
      <c r="AM63" s="41">
        <f t="shared" si="64"/>
        <v>0</v>
      </c>
      <c r="AN63" s="41">
        <f t="shared" si="65"/>
        <v>0</v>
      </c>
      <c r="AO63" s="41">
        <f t="shared" si="66"/>
        <v>0</v>
      </c>
      <c r="AP63" s="41">
        <f t="shared" si="67"/>
        <v>0</v>
      </c>
      <c r="AQ63" s="41">
        <f t="shared" si="68"/>
        <v>0</v>
      </c>
      <c r="AR63" s="41">
        <f t="shared" si="69"/>
        <v>0</v>
      </c>
      <c r="AS63" s="41">
        <f t="shared" si="70"/>
        <v>52.143651240414115</v>
      </c>
      <c r="AT63" s="92">
        <f t="shared" si="74"/>
        <v>225.95582204179453</v>
      </c>
    </row>
    <row r="64" spans="2:46" s="3" customFormat="1" ht="12.75" x14ac:dyDescent="0.2">
      <c r="B64" s="12">
        <f t="shared" si="28"/>
        <v>38</v>
      </c>
      <c r="C64" s="13">
        <f t="shared" si="72"/>
        <v>0.28124946731614953</v>
      </c>
      <c r="D64" s="82">
        <f>IF($B64=V$21,'OBC Cost _Van Oord 2022'!$E$30,0)</f>
        <v>0</v>
      </c>
      <c r="E64" s="38">
        <f t="shared" si="30"/>
        <v>87000</v>
      </c>
      <c r="F64" s="38"/>
      <c r="G64" s="38"/>
      <c r="H64" s="38"/>
      <c r="I64" s="38"/>
      <c r="J64" s="38"/>
      <c r="K64" s="38"/>
      <c r="L64" s="38"/>
      <c r="M64" s="38"/>
      <c r="N64" s="38"/>
      <c r="O64" s="38"/>
      <c r="P64" s="38"/>
      <c r="Q64" s="38"/>
      <c r="R64" s="38"/>
      <c r="S64" s="38"/>
      <c r="T64" s="38"/>
      <c r="U64" s="38"/>
      <c r="V64" s="38"/>
      <c r="W64" s="45">
        <f t="shared" si="71"/>
        <v>26100</v>
      </c>
      <c r="X64" s="45"/>
      <c r="Y64" s="46">
        <f t="shared" si="73"/>
        <v>113100</v>
      </c>
      <c r="Z64" s="41">
        <f t="shared" si="51"/>
        <v>0</v>
      </c>
      <c r="AA64" s="41">
        <f t="shared" si="52"/>
        <v>24468.703656505008</v>
      </c>
      <c r="AB64" s="41">
        <f t="shared" si="53"/>
        <v>0</v>
      </c>
      <c r="AC64" s="41">
        <f t="shared" si="54"/>
        <v>0</v>
      </c>
      <c r="AD64" s="41">
        <f t="shared" si="55"/>
        <v>0</v>
      </c>
      <c r="AE64" s="41">
        <f t="shared" si="56"/>
        <v>0</v>
      </c>
      <c r="AF64" s="41">
        <f t="shared" si="57"/>
        <v>0</v>
      </c>
      <c r="AG64" s="41">
        <f t="shared" si="58"/>
        <v>0</v>
      </c>
      <c r="AH64" s="41">
        <f t="shared" si="59"/>
        <v>0</v>
      </c>
      <c r="AI64" s="41">
        <f t="shared" si="60"/>
        <v>0</v>
      </c>
      <c r="AJ64" s="41">
        <f t="shared" si="61"/>
        <v>0</v>
      </c>
      <c r="AK64" s="41">
        <f t="shared" si="62"/>
        <v>0</v>
      </c>
      <c r="AL64" s="41">
        <f t="shared" si="63"/>
        <v>0</v>
      </c>
      <c r="AM64" s="41">
        <f t="shared" si="64"/>
        <v>0</v>
      </c>
      <c r="AN64" s="41">
        <f t="shared" si="65"/>
        <v>0</v>
      </c>
      <c r="AO64" s="41">
        <f t="shared" si="66"/>
        <v>0</v>
      </c>
      <c r="AP64" s="41">
        <f t="shared" si="67"/>
        <v>0</v>
      </c>
      <c r="AQ64" s="41">
        <f t="shared" si="68"/>
        <v>0</v>
      </c>
      <c r="AR64" s="41">
        <f t="shared" si="69"/>
        <v>0</v>
      </c>
      <c r="AS64" s="41">
        <f t="shared" si="70"/>
        <v>7340.611096951503</v>
      </c>
      <c r="AT64" s="92">
        <f t="shared" si="74"/>
        <v>31809.314753456511</v>
      </c>
    </row>
    <row r="65" spans="2:46" s="3" customFormat="1" ht="12.75" x14ac:dyDescent="0.2">
      <c r="B65" s="12">
        <f t="shared" si="28"/>
        <v>39</v>
      </c>
      <c r="C65" s="13">
        <f t="shared" si="72"/>
        <v>0.2730577352583976</v>
      </c>
      <c r="D65" s="82">
        <f>IF($B65=V$21,'OBC Cost _Van Oord 2022'!$E$30,0)</f>
        <v>0</v>
      </c>
      <c r="E65" s="38">
        <f t="shared" si="30"/>
        <v>600</v>
      </c>
      <c r="F65" s="38"/>
      <c r="G65" s="38"/>
      <c r="H65" s="38"/>
      <c r="I65" s="38"/>
      <c r="J65" s="38"/>
      <c r="K65" s="38"/>
      <c r="L65" s="38"/>
      <c r="M65" s="38"/>
      <c r="N65" s="38"/>
      <c r="O65" s="38"/>
      <c r="P65" s="38"/>
      <c r="Q65" s="38"/>
      <c r="R65" s="38"/>
      <c r="S65" s="38"/>
      <c r="T65" s="38"/>
      <c r="U65" s="38"/>
      <c r="V65" s="38"/>
      <c r="W65" s="45">
        <f t="shared" si="71"/>
        <v>180</v>
      </c>
      <c r="X65" s="45"/>
      <c r="Y65" s="46">
        <f t="shared" si="73"/>
        <v>780</v>
      </c>
      <c r="Z65" s="41">
        <f t="shared" si="51"/>
        <v>0</v>
      </c>
      <c r="AA65" s="41">
        <f t="shared" si="52"/>
        <v>163.83464115503855</v>
      </c>
      <c r="AB65" s="41">
        <f t="shared" si="53"/>
        <v>0</v>
      </c>
      <c r="AC65" s="41">
        <f t="shared" si="54"/>
        <v>0</v>
      </c>
      <c r="AD65" s="41">
        <f t="shared" si="55"/>
        <v>0</v>
      </c>
      <c r="AE65" s="41">
        <f t="shared" si="56"/>
        <v>0</v>
      </c>
      <c r="AF65" s="41">
        <f t="shared" si="57"/>
        <v>0</v>
      </c>
      <c r="AG65" s="41">
        <f t="shared" si="58"/>
        <v>0</v>
      </c>
      <c r="AH65" s="41">
        <f t="shared" si="59"/>
        <v>0</v>
      </c>
      <c r="AI65" s="41">
        <f t="shared" si="60"/>
        <v>0</v>
      </c>
      <c r="AJ65" s="41">
        <f t="shared" si="61"/>
        <v>0</v>
      </c>
      <c r="AK65" s="41">
        <f t="shared" si="62"/>
        <v>0</v>
      </c>
      <c r="AL65" s="41">
        <f t="shared" si="63"/>
        <v>0</v>
      </c>
      <c r="AM65" s="41">
        <f t="shared" si="64"/>
        <v>0</v>
      </c>
      <c r="AN65" s="41">
        <f t="shared" si="65"/>
        <v>0</v>
      </c>
      <c r="AO65" s="41">
        <f t="shared" si="66"/>
        <v>0</v>
      </c>
      <c r="AP65" s="41">
        <f t="shared" si="67"/>
        <v>0</v>
      </c>
      <c r="AQ65" s="41">
        <f t="shared" si="68"/>
        <v>0</v>
      </c>
      <c r="AR65" s="41">
        <f t="shared" si="69"/>
        <v>0</v>
      </c>
      <c r="AS65" s="41">
        <f t="shared" si="70"/>
        <v>49.150392346511566</v>
      </c>
      <c r="AT65" s="92">
        <f t="shared" si="74"/>
        <v>212.98503350155011</v>
      </c>
    </row>
    <row r="66" spans="2:46" s="3" customFormat="1" ht="12.75" x14ac:dyDescent="0.2">
      <c r="B66" s="12">
        <f t="shared" si="28"/>
        <v>40</v>
      </c>
      <c r="C66" s="13">
        <f t="shared" si="72"/>
        <v>0.26510459733825009</v>
      </c>
      <c r="D66" s="82">
        <f>IF($B66=V$21,'OBC Cost _Van Oord 2022'!$E$30,0)</f>
        <v>0</v>
      </c>
      <c r="E66" s="38">
        <f t="shared" si="30"/>
        <v>600</v>
      </c>
      <c r="F66" s="38"/>
      <c r="G66" s="38"/>
      <c r="H66" s="38"/>
      <c r="I66" s="38"/>
      <c r="J66" s="38"/>
      <c r="K66" s="38"/>
      <c r="L66" s="38"/>
      <c r="M66" s="38"/>
      <c r="N66" s="38"/>
      <c r="O66" s="38"/>
      <c r="P66" s="38"/>
      <c r="Q66" s="38"/>
      <c r="R66" s="38"/>
      <c r="S66" s="38"/>
      <c r="T66" s="38"/>
      <c r="U66" s="38"/>
      <c r="V66" s="38"/>
      <c r="W66" s="45">
        <f t="shared" si="71"/>
        <v>180</v>
      </c>
      <c r="X66" s="45"/>
      <c r="Y66" s="46">
        <f t="shared" si="73"/>
        <v>780</v>
      </c>
      <c r="Z66" s="41">
        <f t="shared" si="51"/>
        <v>0</v>
      </c>
      <c r="AA66" s="41">
        <f t="shared" si="52"/>
        <v>159.06275840295007</v>
      </c>
      <c r="AB66" s="41">
        <f t="shared" si="53"/>
        <v>0</v>
      </c>
      <c r="AC66" s="41">
        <f t="shared" si="54"/>
        <v>0</v>
      </c>
      <c r="AD66" s="41">
        <f t="shared" si="55"/>
        <v>0</v>
      </c>
      <c r="AE66" s="41">
        <f t="shared" si="56"/>
        <v>0</v>
      </c>
      <c r="AF66" s="41">
        <f t="shared" si="57"/>
        <v>0</v>
      </c>
      <c r="AG66" s="41">
        <f t="shared" si="58"/>
        <v>0</v>
      </c>
      <c r="AH66" s="41">
        <f t="shared" si="59"/>
        <v>0</v>
      </c>
      <c r="AI66" s="41">
        <f t="shared" si="60"/>
        <v>0</v>
      </c>
      <c r="AJ66" s="41">
        <f t="shared" si="61"/>
        <v>0</v>
      </c>
      <c r="AK66" s="41">
        <f t="shared" si="62"/>
        <v>0</v>
      </c>
      <c r="AL66" s="41">
        <f t="shared" si="63"/>
        <v>0</v>
      </c>
      <c r="AM66" s="41">
        <f t="shared" si="64"/>
        <v>0</v>
      </c>
      <c r="AN66" s="41">
        <f t="shared" si="65"/>
        <v>0</v>
      </c>
      <c r="AO66" s="41">
        <f t="shared" si="66"/>
        <v>0</v>
      </c>
      <c r="AP66" s="41">
        <f t="shared" si="67"/>
        <v>0</v>
      </c>
      <c r="AQ66" s="41">
        <f t="shared" si="68"/>
        <v>0</v>
      </c>
      <c r="AR66" s="41">
        <f t="shared" si="69"/>
        <v>0</v>
      </c>
      <c r="AS66" s="41">
        <f t="shared" si="70"/>
        <v>47.718827520885014</v>
      </c>
      <c r="AT66" s="92">
        <f t="shared" si="74"/>
        <v>206.78158592383508</v>
      </c>
    </row>
    <row r="67" spans="2:46" s="3" customFormat="1" ht="12.75" x14ac:dyDescent="0.2">
      <c r="B67" s="12">
        <f t="shared" si="28"/>
        <v>41</v>
      </c>
      <c r="C67" s="13">
        <f t="shared" si="72"/>
        <v>0.25738310421189331</v>
      </c>
      <c r="D67" s="82">
        <f>IF($B67=V$21,'OBC Cost _Van Oord 2022'!$E$30,0)</f>
        <v>0</v>
      </c>
      <c r="E67" s="38">
        <f t="shared" si="30"/>
        <v>600</v>
      </c>
      <c r="F67" s="38"/>
      <c r="G67" s="38"/>
      <c r="H67" s="38"/>
      <c r="I67" s="38"/>
      <c r="J67" s="38"/>
      <c r="K67" s="38"/>
      <c r="L67" s="38"/>
      <c r="M67" s="38"/>
      <c r="N67" s="38"/>
      <c r="O67" s="38"/>
      <c r="P67" s="38"/>
      <c r="Q67" s="38"/>
      <c r="R67" s="38"/>
      <c r="S67" s="38"/>
      <c r="T67" s="38"/>
      <c r="U67" s="38"/>
      <c r="V67" s="38"/>
      <c r="W67" s="45">
        <f t="shared" si="71"/>
        <v>180</v>
      </c>
      <c r="X67" s="45"/>
      <c r="Y67" s="46">
        <f t="shared" si="73"/>
        <v>780</v>
      </c>
      <c r="Z67" s="41">
        <f t="shared" si="51"/>
        <v>0</v>
      </c>
      <c r="AA67" s="41">
        <f t="shared" si="52"/>
        <v>154.42986252713598</v>
      </c>
      <c r="AB67" s="41">
        <f t="shared" si="53"/>
        <v>0</v>
      </c>
      <c r="AC67" s="41">
        <f t="shared" si="54"/>
        <v>0</v>
      </c>
      <c r="AD67" s="41">
        <f t="shared" si="55"/>
        <v>0</v>
      </c>
      <c r="AE67" s="41">
        <f t="shared" si="56"/>
        <v>0</v>
      </c>
      <c r="AF67" s="41">
        <f t="shared" si="57"/>
        <v>0</v>
      </c>
      <c r="AG67" s="41">
        <f t="shared" si="58"/>
        <v>0</v>
      </c>
      <c r="AH67" s="41">
        <f t="shared" si="59"/>
        <v>0</v>
      </c>
      <c r="AI67" s="41">
        <f t="shared" si="60"/>
        <v>0</v>
      </c>
      <c r="AJ67" s="41">
        <f t="shared" si="61"/>
        <v>0</v>
      </c>
      <c r="AK67" s="41">
        <f t="shared" si="62"/>
        <v>0</v>
      </c>
      <c r="AL67" s="41">
        <f t="shared" si="63"/>
        <v>0</v>
      </c>
      <c r="AM67" s="41">
        <f t="shared" si="64"/>
        <v>0</v>
      </c>
      <c r="AN67" s="41">
        <f t="shared" si="65"/>
        <v>0</v>
      </c>
      <c r="AO67" s="41">
        <f t="shared" si="66"/>
        <v>0</v>
      </c>
      <c r="AP67" s="41">
        <f t="shared" si="67"/>
        <v>0</v>
      </c>
      <c r="AQ67" s="41">
        <f t="shared" si="68"/>
        <v>0</v>
      </c>
      <c r="AR67" s="41">
        <f t="shared" si="69"/>
        <v>0</v>
      </c>
      <c r="AS67" s="41">
        <f t="shared" si="70"/>
        <v>46.328958758140793</v>
      </c>
      <c r="AT67" s="92">
        <f t="shared" si="74"/>
        <v>200.75882128527678</v>
      </c>
    </row>
    <row r="68" spans="2:46" s="3" customFormat="1" ht="12.75" x14ac:dyDescent="0.2">
      <c r="B68" s="12">
        <f t="shared" si="28"/>
        <v>42</v>
      </c>
      <c r="C68" s="13">
        <f t="shared" si="72"/>
        <v>0.24988650894358574</v>
      </c>
      <c r="D68" s="82">
        <f>IF($B68=V$21,'OBC Cost _Van Oord 2022'!$E$30,0)</f>
        <v>0</v>
      </c>
      <c r="E68" s="38">
        <f t="shared" si="30"/>
        <v>600</v>
      </c>
      <c r="F68" s="38"/>
      <c r="G68" s="38"/>
      <c r="H68" s="38"/>
      <c r="I68" s="38"/>
      <c r="J68" s="38"/>
      <c r="K68" s="38"/>
      <c r="L68" s="38"/>
      <c r="M68" s="38"/>
      <c r="N68" s="38"/>
      <c r="O68" s="38"/>
      <c r="P68" s="38"/>
      <c r="Q68" s="38"/>
      <c r="R68" s="38"/>
      <c r="S68" s="38"/>
      <c r="T68" s="38"/>
      <c r="U68" s="38"/>
      <c r="V68" s="38"/>
      <c r="W68" s="45">
        <f t="shared" si="71"/>
        <v>180</v>
      </c>
      <c r="X68" s="45"/>
      <c r="Y68" s="46">
        <f t="shared" si="73"/>
        <v>780</v>
      </c>
      <c r="Z68" s="41">
        <f t="shared" si="51"/>
        <v>0</v>
      </c>
      <c r="AA68" s="41">
        <f t="shared" si="52"/>
        <v>149.93190536615145</v>
      </c>
      <c r="AB68" s="41">
        <f t="shared" si="53"/>
        <v>0</v>
      </c>
      <c r="AC68" s="41">
        <f t="shared" si="54"/>
        <v>0</v>
      </c>
      <c r="AD68" s="41">
        <f t="shared" si="55"/>
        <v>0</v>
      </c>
      <c r="AE68" s="41">
        <f t="shared" si="56"/>
        <v>0</v>
      </c>
      <c r="AF68" s="41">
        <f t="shared" si="57"/>
        <v>0</v>
      </c>
      <c r="AG68" s="41">
        <f t="shared" si="58"/>
        <v>0</v>
      </c>
      <c r="AH68" s="41">
        <f t="shared" si="59"/>
        <v>0</v>
      </c>
      <c r="AI68" s="41">
        <f t="shared" si="60"/>
        <v>0</v>
      </c>
      <c r="AJ68" s="41">
        <f t="shared" si="61"/>
        <v>0</v>
      </c>
      <c r="AK68" s="41">
        <f t="shared" si="62"/>
        <v>0</v>
      </c>
      <c r="AL68" s="41">
        <f t="shared" si="63"/>
        <v>0</v>
      </c>
      <c r="AM68" s="41">
        <f t="shared" si="64"/>
        <v>0</v>
      </c>
      <c r="AN68" s="41">
        <f t="shared" si="65"/>
        <v>0</v>
      </c>
      <c r="AO68" s="41">
        <f t="shared" si="66"/>
        <v>0</v>
      </c>
      <c r="AP68" s="41">
        <f t="shared" si="67"/>
        <v>0</v>
      </c>
      <c r="AQ68" s="41">
        <f t="shared" si="68"/>
        <v>0</v>
      </c>
      <c r="AR68" s="41">
        <f t="shared" si="69"/>
        <v>0</v>
      </c>
      <c r="AS68" s="41">
        <f t="shared" si="70"/>
        <v>44.979571609845436</v>
      </c>
      <c r="AT68" s="92">
        <f t="shared" si="74"/>
        <v>194.91147697599689</v>
      </c>
    </row>
    <row r="69" spans="2:46" s="3" customFormat="1" ht="12.75" x14ac:dyDescent="0.2">
      <c r="B69" s="12">
        <f t="shared" si="28"/>
        <v>43</v>
      </c>
      <c r="C69" s="13">
        <f t="shared" si="72"/>
        <v>0.24260826111027742</v>
      </c>
      <c r="D69" s="82">
        <f>IF($B69=V$21,'OBC Cost _Van Oord 2022'!$E$30,0)</f>
        <v>0</v>
      </c>
      <c r="E69" s="38">
        <f t="shared" si="30"/>
        <v>202130</v>
      </c>
      <c r="F69" s="38"/>
      <c r="G69" s="38"/>
      <c r="H69" s="38"/>
      <c r="I69" s="38"/>
      <c r="J69" s="38"/>
      <c r="K69" s="38"/>
      <c r="L69" s="38"/>
      <c r="M69" s="38"/>
      <c r="N69" s="38"/>
      <c r="O69" s="38"/>
      <c r="P69" s="38"/>
      <c r="Q69" s="38"/>
      <c r="R69" s="38"/>
      <c r="S69" s="38"/>
      <c r="T69" s="38"/>
      <c r="U69" s="38"/>
      <c r="V69" s="38"/>
      <c r="W69" s="45">
        <f t="shared" si="71"/>
        <v>60639</v>
      </c>
      <c r="X69" s="45"/>
      <c r="Y69" s="46">
        <f t="shared" si="73"/>
        <v>262769</v>
      </c>
      <c r="Z69" s="41">
        <f t="shared" si="51"/>
        <v>0</v>
      </c>
      <c r="AA69" s="41">
        <f t="shared" si="52"/>
        <v>49038.407818220374</v>
      </c>
      <c r="AB69" s="41">
        <f t="shared" si="53"/>
        <v>0</v>
      </c>
      <c r="AC69" s="41">
        <f t="shared" si="54"/>
        <v>0</v>
      </c>
      <c r="AD69" s="41">
        <f t="shared" si="55"/>
        <v>0</v>
      </c>
      <c r="AE69" s="41">
        <f t="shared" si="56"/>
        <v>0</v>
      </c>
      <c r="AF69" s="41">
        <f t="shared" si="57"/>
        <v>0</v>
      </c>
      <c r="AG69" s="41">
        <f t="shared" si="58"/>
        <v>0</v>
      </c>
      <c r="AH69" s="41">
        <f t="shared" si="59"/>
        <v>0</v>
      </c>
      <c r="AI69" s="41">
        <f t="shared" si="60"/>
        <v>0</v>
      </c>
      <c r="AJ69" s="41">
        <f t="shared" si="61"/>
        <v>0</v>
      </c>
      <c r="AK69" s="41">
        <f t="shared" si="62"/>
        <v>0</v>
      </c>
      <c r="AL69" s="41">
        <f t="shared" si="63"/>
        <v>0</v>
      </c>
      <c r="AM69" s="41">
        <f t="shared" si="64"/>
        <v>0</v>
      </c>
      <c r="AN69" s="41">
        <f t="shared" si="65"/>
        <v>0</v>
      </c>
      <c r="AO69" s="41">
        <f t="shared" si="66"/>
        <v>0</v>
      </c>
      <c r="AP69" s="41">
        <f t="shared" si="67"/>
        <v>0</v>
      </c>
      <c r="AQ69" s="41">
        <f t="shared" si="68"/>
        <v>0</v>
      </c>
      <c r="AR69" s="41">
        <f t="shared" si="69"/>
        <v>0</v>
      </c>
      <c r="AS69" s="41">
        <f t="shared" si="70"/>
        <v>14711.522345466112</v>
      </c>
      <c r="AT69" s="92">
        <f t="shared" si="74"/>
        <v>63749.930163686484</v>
      </c>
    </row>
    <row r="70" spans="2:46" s="3" customFormat="1" ht="12.75" x14ac:dyDescent="0.2">
      <c r="B70" s="12">
        <f t="shared" si="28"/>
        <v>44</v>
      </c>
      <c r="C70" s="13">
        <f t="shared" si="72"/>
        <v>0.23554200107793924</v>
      </c>
      <c r="D70" s="82">
        <f>IF($B70=V$21,'OBC Cost _Van Oord 2022'!$E$30,0)</f>
        <v>0</v>
      </c>
      <c r="E70" s="38">
        <f t="shared" si="30"/>
        <v>600</v>
      </c>
      <c r="F70" s="38"/>
      <c r="G70" s="38"/>
      <c r="H70" s="38"/>
      <c r="I70" s="38"/>
      <c r="J70" s="38"/>
      <c r="K70" s="38"/>
      <c r="L70" s="38"/>
      <c r="M70" s="38"/>
      <c r="N70" s="38"/>
      <c r="O70" s="38"/>
      <c r="P70" s="38"/>
      <c r="Q70" s="38"/>
      <c r="R70" s="38"/>
      <c r="S70" s="38"/>
      <c r="T70" s="38"/>
      <c r="U70" s="38"/>
      <c r="V70" s="38"/>
      <c r="W70" s="45">
        <f t="shared" si="71"/>
        <v>180</v>
      </c>
      <c r="X70" s="45"/>
      <c r="Y70" s="46">
        <f t="shared" si="73"/>
        <v>780</v>
      </c>
      <c r="Z70" s="41">
        <f t="shared" si="51"/>
        <v>0</v>
      </c>
      <c r="AA70" s="41">
        <f t="shared" si="52"/>
        <v>141.32520064676353</v>
      </c>
      <c r="AB70" s="41">
        <f t="shared" si="53"/>
        <v>0</v>
      </c>
      <c r="AC70" s="41">
        <f t="shared" si="54"/>
        <v>0</v>
      </c>
      <c r="AD70" s="41">
        <f t="shared" si="55"/>
        <v>0</v>
      </c>
      <c r="AE70" s="41">
        <f t="shared" si="56"/>
        <v>0</v>
      </c>
      <c r="AF70" s="41">
        <f t="shared" si="57"/>
        <v>0</v>
      </c>
      <c r="AG70" s="41">
        <f t="shared" si="58"/>
        <v>0</v>
      </c>
      <c r="AH70" s="41">
        <f t="shared" si="59"/>
        <v>0</v>
      </c>
      <c r="AI70" s="41">
        <f t="shared" si="60"/>
        <v>0</v>
      </c>
      <c r="AJ70" s="41">
        <f t="shared" si="61"/>
        <v>0</v>
      </c>
      <c r="AK70" s="41">
        <f t="shared" si="62"/>
        <v>0</v>
      </c>
      <c r="AL70" s="41">
        <f t="shared" si="63"/>
        <v>0</v>
      </c>
      <c r="AM70" s="41">
        <f t="shared" si="64"/>
        <v>0</v>
      </c>
      <c r="AN70" s="41">
        <f t="shared" si="65"/>
        <v>0</v>
      </c>
      <c r="AO70" s="41">
        <f t="shared" si="66"/>
        <v>0</v>
      </c>
      <c r="AP70" s="41">
        <f t="shared" si="67"/>
        <v>0</v>
      </c>
      <c r="AQ70" s="41">
        <f t="shared" si="68"/>
        <v>0</v>
      </c>
      <c r="AR70" s="41">
        <f t="shared" si="69"/>
        <v>0</v>
      </c>
      <c r="AS70" s="41">
        <f t="shared" si="70"/>
        <v>42.397560194029062</v>
      </c>
      <c r="AT70" s="92">
        <f t="shared" si="74"/>
        <v>183.7227608407926</v>
      </c>
    </row>
    <row r="71" spans="2:46" s="3" customFormat="1" ht="12.75" x14ac:dyDescent="0.2">
      <c r="B71" s="12">
        <f t="shared" si="28"/>
        <v>45</v>
      </c>
      <c r="C71" s="13">
        <f t="shared" si="72"/>
        <v>0.2286815544446012</v>
      </c>
      <c r="D71" s="82">
        <f>IF($B71=V$21,'OBC Cost _Van Oord 2022'!$E$30,0)</f>
        <v>0</v>
      </c>
      <c r="E71" s="38">
        <f t="shared" si="30"/>
        <v>600</v>
      </c>
      <c r="F71" s="38"/>
      <c r="G71" s="38"/>
      <c r="H71" s="38"/>
      <c r="I71" s="38"/>
      <c r="J71" s="38"/>
      <c r="K71" s="38"/>
      <c r="L71" s="38"/>
      <c r="M71" s="38"/>
      <c r="N71" s="38"/>
      <c r="O71" s="38"/>
      <c r="P71" s="38"/>
      <c r="Q71" s="38"/>
      <c r="R71" s="38"/>
      <c r="S71" s="38"/>
      <c r="T71" s="38"/>
      <c r="U71" s="38"/>
      <c r="V71" s="38"/>
      <c r="W71" s="45">
        <f t="shared" si="71"/>
        <v>180</v>
      </c>
      <c r="X71" s="45"/>
      <c r="Y71" s="46">
        <f t="shared" si="73"/>
        <v>780</v>
      </c>
      <c r="Z71" s="41">
        <f t="shared" si="51"/>
        <v>0</v>
      </c>
      <c r="AA71" s="41">
        <f t="shared" si="52"/>
        <v>137.20893266676072</v>
      </c>
      <c r="AB71" s="41">
        <f t="shared" si="53"/>
        <v>0</v>
      </c>
      <c r="AC71" s="41">
        <f t="shared" si="54"/>
        <v>0</v>
      </c>
      <c r="AD71" s="41">
        <f t="shared" si="55"/>
        <v>0</v>
      </c>
      <c r="AE71" s="41">
        <f t="shared" si="56"/>
        <v>0</v>
      </c>
      <c r="AF71" s="41">
        <f t="shared" si="57"/>
        <v>0</v>
      </c>
      <c r="AG71" s="41">
        <f t="shared" si="58"/>
        <v>0</v>
      </c>
      <c r="AH71" s="41">
        <f t="shared" si="59"/>
        <v>0</v>
      </c>
      <c r="AI71" s="41">
        <f t="shared" si="60"/>
        <v>0</v>
      </c>
      <c r="AJ71" s="41">
        <f t="shared" si="61"/>
        <v>0</v>
      </c>
      <c r="AK71" s="41">
        <f t="shared" si="62"/>
        <v>0</v>
      </c>
      <c r="AL71" s="41">
        <f t="shared" si="63"/>
        <v>0</v>
      </c>
      <c r="AM71" s="41">
        <f t="shared" si="64"/>
        <v>0</v>
      </c>
      <c r="AN71" s="41">
        <f t="shared" si="65"/>
        <v>0</v>
      </c>
      <c r="AO71" s="41">
        <f t="shared" si="66"/>
        <v>0</v>
      </c>
      <c r="AP71" s="41">
        <f t="shared" si="67"/>
        <v>0</v>
      </c>
      <c r="AQ71" s="41">
        <f t="shared" si="68"/>
        <v>0</v>
      </c>
      <c r="AR71" s="41">
        <f t="shared" si="69"/>
        <v>0</v>
      </c>
      <c r="AS71" s="41">
        <f t="shared" si="70"/>
        <v>41.162679800028215</v>
      </c>
      <c r="AT71" s="92">
        <f t="shared" si="74"/>
        <v>178.37161246678892</v>
      </c>
    </row>
    <row r="72" spans="2:46" s="3" customFormat="1" ht="12.75" x14ac:dyDescent="0.2">
      <c r="B72" s="12">
        <f t="shared" si="28"/>
        <v>46</v>
      </c>
      <c r="C72" s="13">
        <f t="shared" si="72"/>
        <v>0.22202092664524387</v>
      </c>
      <c r="D72" s="82">
        <f>IF($B72=V$21,'OBC Cost _Van Oord 2022'!$E$30,0)</f>
        <v>0</v>
      </c>
      <c r="E72" s="38">
        <f t="shared" si="30"/>
        <v>600</v>
      </c>
      <c r="F72" s="38"/>
      <c r="G72" s="38"/>
      <c r="H72" s="38"/>
      <c r="I72" s="38"/>
      <c r="J72" s="38"/>
      <c r="K72" s="38"/>
      <c r="L72" s="38"/>
      <c r="M72" s="38"/>
      <c r="N72" s="38"/>
      <c r="O72" s="38"/>
      <c r="P72" s="38"/>
      <c r="Q72" s="38"/>
      <c r="R72" s="38"/>
      <c r="S72" s="38"/>
      <c r="T72" s="38"/>
      <c r="U72" s="38"/>
      <c r="V72" s="38"/>
      <c r="W72" s="45">
        <f t="shared" si="71"/>
        <v>180</v>
      </c>
      <c r="X72" s="45"/>
      <c r="Y72" s="46">
        <f t="shared" si="73"/>
        <v>780</v>
      </c>
      <c r="Z72" s="41">
        <f t="shared" si="51"/>
        <v>0</v>
      </c>
      <c r="AA72" s="41">
        <f t="shared" si="52"/>
        <v>133.21255598714632</v>
      </c>
      <c r="AB72" s="41">
        <f t="shared" si="53"/>
        <v>0</v>
      </c>
      <c r="AC72" s="41">
        <f t="shared" si="54"/>
        <v>0</v>
      </c>
      <c r="AD72" s="41">
        <f t="shared" si="55"/>
        <v>0</v>
      </c>
      <c r="AE72" s="41">
        <f t="shared" si="56"/>
        <v>0</v>
      </c>
      <c r="AF72" s="41">
        <f t="shared" si="57"/>
        <v>0</v>
      </c>
      <c r="AG72" s="41">
        <f t="shared" si="58"/>
        <v>0</v>
      </c>
      <c r="AH72" s="41">
        <f t="shared" si="59"/>
        <v>0</v>
      </c>
      <c r="AI72" s="41">
        <f t="shared" si="60"/>
        <v>0</v>
      </c>
      <c r="AJ72" s="41">
        <f t="shared" si="61"/>
        <v>0</v>
      </c>
      <c r="AK72" s="41">
        <f t="shared" si="62"/>
        <v>0</v>
      </c>
      <c r="AL72" s="41">
        <f t="shared" si="63"/>
        <v>0</v>
      </c>
      <c r="AM72" s="41">
        <f t="shared" si="64"/>
        <v>0</v>
      </c>
      <c r="AN72" s="41">
        <f t="shared" si="65"/>
        <v>0</v>
      </c>
      <c r="AO72" s="41">
        <f t="shared" si="66"/>
        <v>0</v>
      </c>
      <c r="AP72" s="41">
        <f t="shared" si="67"/>
        <v>0</v>
      </c>
      <c r="AQ72" s="41">
        <f t="shared" si="68"/>
        <v>0</v>
      </c>
      <c r="AR72" s="41">
        <f t="shared" si="69"/>
        <v>0</v>
      </c>
      <c r="AS72" s="41">
        <f t="shared" si="70"/>
        <v>39.963766796143894</v>
      </c>
      <c r="AT72" s="92">
        <f t="shared" si="74"/>
        <v>173.1763227832902</v>
      </c>
    </row>
    <row r="73" spans="2:46" s="3" customFormat="1" ht="12.75" x14ac:dyDescent="0.2">
      <c r="B73" s="12">
        <f t="shared" si="28"/>
        <v>47</v>
      </c>
      <c r="C73" s="13">
        <f t="shared" si="72"/>
        <v>0.215554297713829</v>
      </c>
      <c r="D73" s="82">
        <f>IF($B73=V$21,'OBC Cost _Van Oord 2022'!$E$30,0)</f>
        <v>0</v>
      </c>
      <c r="E73" s="38">
        <f t="shared" si="30"/>
        <v>600</v>
      </c>
      <c r="F73" s="38"/>
      <c r="G73" s="38"/>
      <c r="H73" s="38"/>
      <c r="I73" s="38"/>
      <c r="J73" s="38"/>
      <c r="K73" s="38"/>
      <c r="L73" s="38"/>
      <c r="M73" s="38"/>
      <c r="N73" s="38"/>
      <c r="O73" s="38"/>
      <c r="P73" s="38"/>
      <c r="Q73" s="38"/>
      <c r="R73" s="38"/>
      <c r="S73" s="38"/>
      <c r="T73" s="38"/>
      <c r="U73" s="38"/>
      <c r="V73" s="38"/>
      <c r="W73" s="45">
        <f t="shared" si="71"/>
        <v>180</v>
      </c>
      <c r="X73" s="45"/>
      <c r="Y73" s="46">
        <f t="shared" si="73"/>
        <v>780</v>
      </c>
      <c r="Z73" s="41">
        <f t="shared" si="51"/>
        <v>0</v>
      </c>
      <c r="AA73" s="41">
        <f t="shared" si="52"/>
        <v>129.3325786282974</v>
      </c>
      <c r="AB73" s="41">
        <f t="shared" si="53"/>
        <v>0</v>
      </c>
      <c r="AC73" s="41">
        <f t="shared" si="54"/>
        <v>0</v>
      </c>
      <c r="AD73" s="41">
        <f t="shared" si="55"/>
        <v>0</v>
      </c>
      <c r="AE73" s="41">
        <f t="shared" si="56"/>
        <v>0</v>
      </c>
      <c r="AF73" s="41">
        <f t="shared" si="57"/>
        <v>0</v>
      </c>
      <c r="AG73" s="41">
        <f t="shared" si="58"/>
        <v>0</v>
      </c>
      <c r="AH73" s="41">
        <f t="shared" si="59"/>
        <v>0</v>
      </c>
      <c r="AI73" s="41">
        <f t="shared" si="60"/>
        <v>0</v>
      </c>
      <c r="AJ73" s="41">
        <f t="shared" si="61"/>
        <v>0</v>
      </c>
      <c r="AK73" s="41">
        <f t="shared" si="62"/>
        <v>0</v>
      </c>
      <c r="AL73" s="41">
        <f t="shared" si="63"/>
        <v>0</v>
      </c>
      <c r="AM73" s="41">
        <f t="shared" si="64"/>
        <v>0</v>
      </c>
      <c r="AN73" s="41">
        <f t="shared" si="65"/>
        <v>0</v>
      </c>
      <c r="AO73" s="41">
        <f t="shared" si="66"/>
        <v>0</v>
      </c>
      <c r="AP73" s="41">
        <f t="shared" si="67"/>
        <v>0</v>
      </c>
      <c r="AQ73" s="41">
        <f t="shared" si="68"/>
        <v>0</v>
      </c>
      <c r="AR73" s="41">
        <f t="shared" si="69"/>
        <v>0</v>
      </c>
      <c r="AS73" s="41">
        <f t="shared" si="70"/>
        <v>38.799773588489224</v>
      </c>
      <c r="AT73" s="92">
        <f t="shared" si="74"/>
        <v>168.13235221678661</v>
      </c>
    </row>
    <row r="74" spans="2:46" s="3" customFormat="1" ht="12.75" x14ac:dyDescent="0.2">
      <c r="B74" s="12">
        <f t="shared" si="28"/>
        <v>48</v>
      </c>
      <c r="C74" s="13">
        <f t="shared" si="72"/>
        <v>0.20927601719789224</v>
      </c>
      <c r="D74" s="82">
        <f>IF($B74=V$21,'OBC Cost _Van Oord 2022'!$E$30,0)</f>
        <v>0</v>
      </c>
      <c r="E74" s="38">
        <f t="shared" si="30"/>
        <v>87000</v>
      </c>
      <c r="F74" s="38"/>
      <c r="G74" s="38"/>
      <c r="H74" s="38"/>
      <c r="I74" s="38"/>
      <c r="J74" s="38"/>
      <c r="K74" s="38"/>
      <c r="L74" s="38"/>
      <c r="M74" s="38"/>
      <c r="N74" s="38"/>
      <c r="O74" s="38"/>
      <c r="P74" s="38"/>
      <c r="Q74" s="38"/>
      <c r="R74" s="38"/>
      <c r="S74" s="38"/>
      <c r="T74" s="38"/>
      <c r="U74" s="38"/>
      <c r="V74" s="38"/>
      <c r="W74" s="45">
        <f t="shared" si="71"/>
        <v>26100</v>
      </c>
      <c r="X74" s="45"/>
      <c r="Y74" s="46">
        <f t="shared" si="73"/>
        <v>113100</v>
      </c>
      <c r="Z74" s="41">
        <f t="shared" si="51"/>
        <v>0</v>
      </c>
      <c r="AA74" s="41">
        <f t="shared" si="52"/>
        <v>18207.013496216623</v>
      </c>
      <c r="AB74" s="41">
        <f t="shared" si="53"/>
        <v>0</v>
      </c>
      <c r="AC74" s="41">
        <f t="shared" si="54"/>
        <v>0</v>
      </c>
      <c r="AD74" s="41">
        <f t="shared" si="55"/>
        <v>0</v>
      </c>
      <c r="AE74" s="41">
        <f t="shared" si="56"/>
        <v>0</v>
      </c>
      <c r="AF74" s="41">
        <f t="shared" si="57"/>
        <v>0</v>
      </c>
      <c r="AG74" s="41">
        <f t="shared" si="58"/>
        <v>0</v>
      </c>
      <c r="AH74" s="41">
        <f t="shared" si="59"/>
        <v>0</v>
      </c>
      <c r="AI74" s="41">
        <f t="shared" si="60"/>
        <v>0</v>
      </c>
      <c r="AJ74" s="41">
        <f t="shared" si="61"/>
        <v>0</v>
      </c>
      <c r="AK74" s="41">
        <f t="shared" si="62"/>
        <v>0</v>
      </c>
      <c r="AL74" s="41">
        <f t="shared" si="63"/>
        <v>0</v>
      </c>
      <c r="AM74" s="41">
        <f t="shared" si="64"/>
        <v>0</v>
      </c>
      <c r="AN74" s="41">
        <f t="shared" si="65"/>
        <v>0</v>
      </c>
      <c r="AO74" s="41">
        <f t="shared" si="66"/>
        <v>0</v>
      </c>
      <c r="AP74" s="41">
        <f t="shared" si="67"/>
        <v>0</v>
      </c>
      <c r="AQ74" s="41">
        <f t="shared" si="68"/>
        <v>0</v>
      </c>
      <c r="AR74" s="41">
        <f t="shared" si="69"/>
        <v>0</v>
      </c>
      <c r="AS74" s="41">
        <f t="shared" si="70"/>
        <v>5462.1040488649878</v>
      </c>
      <c r="AT74" s="92">
        <f t="shared" si="74"/>
        <v>23669.117545081612</v>
      </c>
    </row>
    <row r="75" spans="2:46" s="3" customFormat="1" ht="12.75" x14ac:dyDescent="0.2">
      <c r="B75" s="12">
        <f t="shared" si="28"/>
        <v>49</v>
      </c>
      <c r="C75" s="13">
        <f t="shared" si="72"/>
        <v>0.20318059922125459</v>
      </c>
      <c r="D75" s="82">
        <f>IF($B75=V$21,'OBC Cost _Van Oord 2022'!$E$30,0)</f>
        <v>0</v>
      </c>
      <c r="E75" s="38">
        <f t="shared" si="30"/>
        <v>600</v>
      </c>
      <c r="F75" s="38"/>
      <c r="G75" s="38"/>
      <c r="H75" s="38"/>
      <c r="I75" s="38"/>
      <c r="J75" s="38"/>
      <c r="K75" s="38"/>
      <c r="L75" s="38"/>
      <c r="M75" s="38"/>
      <c r="N75" s="38"/>
      <c r="O75" s="38"/>
      <c r="P75" s="38"/>
      <c r="Q75" s="38"/>
      <c r="R75" s="38"/>
      <c r="S75" s="38"/>
      <c r="T75" s="38"/>
      <c r="U75" s="38"/>
      <c r="V75" s="38"/>
      <c r="W75" s="45">
        <f t="shared" si="71"/>
        <v>180</v>
      </c>
      <c r="X75" s="45"/>
      <c r="Y75" s="46">
        <f t="shared" si="73"/>
        <v>780</v>
      </c>
      <c r="Z75" s="41">
        <f t="shared" si="51"/>
        <v>0</v>
      </c>
      <c r="AA75" s="41">
        <f t="shared" si="52"/>
        <v>121.90835953275275</v>
      </c>
      <c r="AB75" s="41">
        <f t="shared" si="53"/>
        <v>0</v>
      </c>
      <c r="AC75" s="41">
        <f t="shared" si="54"/>
        <v>0</v>
      </c>
      <c r="AD75" s="41">
        <f t="shared" si="55"/>
        <v>0</v>
      </c>
      <c r="AE75" s="41">
        <f t="shared" si="56"/>
        <v>0</v>
      </c>
      <c r="AF75" s="41">
        <f t="shared" si="57"/>
        <v>0</v>
      </c>
      <c r="AG75" s="41">
        <f t="shared" si="58"/>
        <v>0</v>
      </c>
      <c r="AH75" s="41">
        <f t="shared" si="59"/>
        <v>0</v>
      </c>
      <c r="AI75" s="41">
        <f t="shared" si="60"/>
        <v>0</v>
      </c>
      <c r="AJ75" s="41">
        <f t="shared" si="61"/>
        <v>0</v>
      </c>
      <c r="AK75" s="41">
        <f t="shared" si="62"/>
        <v>0</v>
      </c>
      <c r="AL75" s="41">
        <f t="shared" si="63"/>
        <v>0</v>
      </c>
      <c r="AM75" s="41">
        <f t="shared" si="64"/>
        <v>0</v>
      </c>
      <c r="AN75" s="41">
        <f t="shared" si="65"/>
        <v>0</v>
      </c>
      <c r="AO75" s="41">
        <f t="shared" si="66"/>
        <v>0</v>
      </c>
      <c r="AP75" s="41">
        <f t="shared" si="67"/>
        <v>0</v>
      </c>
      <c r="AQ75" s="41">
        <f t="shared" si="68"/>
        <v>0</v>
      </c>
      <c r="AR75" s="41">
        <f t="shared" si="69"/>
        <v>0</v>
      </c>
      <c r="AS75" s="41">
        <f t="shared" si="70"/>
        <v>36.572507859825826</v>
      </c>
      <c r="AT75" s="92">
        <f t="shared" si="74"/>
        <v>158.48086739257857</v>
      </c>
    </row>
    <row r="76" spans="2:46" s="3" customFormat="1" ht="12.75" x14ac:dyDescent="0.2">
      <c r="B76" s="12">
        <f t="shared" si="28"/>
        <v>50</v>
      </c>
      <c r="C76" s="13">
        <f t="shared" si="72"/>
        <v>0.19726271769053844</v>
      </c>
      <c r="D76" s="82">
        <f>IF($B76=V$21,'OBC Cost _Van Oord 2022'!$E$30,0)</f>
        <v>0</v>
      </c>
      <c r="E76" s="38">
        <f t="shared" si="30"/>
        <v>600</v>
      </c>
      <c r="F76" s="38"/>
      <c r="G76" s="38"/>
      <c r="H76" s="38"/>
      <c r="I76" s="38"/>
      <c r="J76" s="38"/>
      <c r="K76" s="38"/>
      <c r="L76" s="38"/>
      <c r="M76" s="38"/>
      <c r="N76" s="38"/>
      <c r="O76" s="38"/>
      <c r="P76" s="38"/>
      <c r="Q76" s="38"/>
      <c r="R76" s="38"/>
      <c r="S76" s="38"/>
      <c r="T76" s="38"/>
      <c r="U76" s="38"/>
      <c r="V76" s="38"/>
      <c r="W76" s="45">
        <f t="shared" si="71"/>
        <v>180</v>
      </c>
      <c r="X76" s="45"/>
      <c r="Y76" s="46">
        <f t="shared" si="73"/>
        <v>780</v>
      </c>
      <c r="Z76" s="41">
        <f t="shared" si="51"/>
        <v>0</v>
      </c>
      <c r="AA76" s="41">
        <f t="shared" si="52"/>
        <v>118.35763061432306</v>
      </c>
      <c r="AB76" s="41">
        <f t="shared" si="53"/>
        <v>0</v>
      </c>
      <c r="AC76" s="41">
        <f t="shared" si="54"/>
        <v>0</v>
      </c>
      <c r="AD76" s="41">
        <f t="shared" si="55"/>
        <v>0</v>
      </c>
      <c r="AE76" s="41">
        <f t="shared" si="56"/>
        <v>0</v>
      </c>
      <c r="AF76" s="41">
        <f t="shared" si="57"/>
        <v>0</v>
      </c>
      <c r="AG76" s="41">
        <f t="shared" si="58"/>
        <v>0</v>
      </c>
      <c r="AH76" s="41">
        <f t="shared" si="59"/>
        <v>0</v>
      </c>
      <c r="AI76" s="41">
        <f t="shared" si="60"/>
        <v>0</v>
      </c>
      <c r="AJ76" s="41">
        <f t="shared" si="61"/>
        <v>0</v>
      </c>
      <c r="AK76" s="41">
        <f t="shared" si="62"/>
        <v>0</v>
      </c>
      <c r="AL76" s="41">
        <f t="shared" si="63"/>
        <v>0</v>
      </c>
      <c r="AM76" s="41">
        <f t="shared" si="64"/>
        <v>0</v>
      </c>
      <c r="AN76" s="41">
        <f t="shared" si="65"/>
        <v>0</v>
      </c>
      <c r="AO76" s="41">
        <f t="shared" si="66"/>
        <v>0</v>
      </c>
      <c r="AP76" s="41">
        <f t="shared" si="67"/>
        <v>0</v>
      </c>
      <c r="AQ76" s="41">
        <f t="shared" si="68"/>
        <v>0</v>
      </c>
      <c r="AR76" s="41">
        <f t="shared" si="69"/>
        <v>0</v>
      </c>
      <c r="AS76" s="41">
        <f t="shared" si="70"/>
        <v>35.507289184296916</v>
      </c>
      <c r="AT76" s="92">
        <f t="shared" si="74"/>
        <v>153.86491979861998</v>
      </c>
    </row>
    <row r="77" spans="2:46" s="3" customFormat="1" ht="12.75" x14ac:dyDescent="0.2">
      <c r="B77" s="12">
        <f t="shared" si="28"/>
        <v>51</v>
      </c>
      <c r="C77" s="13">
        <f t="shared" si="72"/>
        <v>0.19151720164129946</v>
      </c>
      <c r="D77" s="82">
        <f>IF($B77=V$21,'OBC Cost _Van Oord 2022'!$E$30,0)</f>
        <v>0</v>
      </c>
      <c r="E77" s="38">
        <f t="shared" si="30"/>
        <v>600</v>
      </c>
      <c r="F77" s="38"/>
      <c r="G77" s="38"/>
      <c r="H77" s="38"/>
      <c r="I77" s="38"/>
      <c r="J77" s="38"/>
      <c r="K77" s="38"/>
      <c r="L77" s="38"/>
      <c r="M77" s="38"/>
      <c r="N77" s="38"/>
      <c r="O77" s="38"/>
      <c r="P77" s="38"/>
      <c r="Q77" s="38"/>
      <c r="R77" s="38"/>
      <c r="S77" s="38"/>
      <c r="T77" s="38"/>
      <c r="U77" s="38"/>
      <c r="V77" s="38"/>
      <c r="W77" s="45">
        <f t="shared" si="71"/>
        <v>180</v>
      </c>
      <c r="X77" s="45"/>
      <c r="Y77" s="46">
        <f t="shared" si="73"/>
        <v>780</v>
      </c>
      <c r="Z77" s="41">
        <f t="shared" si="51"/>
        <v>0</v>
      </c>
      <c r="AA77" s="41">
        <f t="shared" si="52"/>
        <v>114.91032098477967</v>
      </c>
      <c r="AB77" s="41">
        <f t="shared" si="53"/>
        <v>0</v>
      </c>
      <c r="AC77" s="41">
        <f t="shared" si="54"/>
        <v>0</v>
      </c>
      <c r="AD77" s="41">
        <f t="shared" si="55"/>
        <v>0</v>
      </c>
      <c r="AE77" s="41">
        <f t="shared" si="56"/>
        <v>0</v>
      </c>
      <c r="AF77" s="41">
        <f t="shared" si="57"/>
        <v>0</v>
      </c>
      <c r="AG77" s="41">
        <f t="shared" si="58"/>
        <v>0</v>
      </c>
      <c r="AH77" s="41">
        <f t="shared" si="59"/>
        <v>0</v>
      </c>
      <c r="AI77" s="41">
        <f t="shared" si="60"/>
        <v>0</v>
      </c>
      <c r="AJ77" s="41">
        <f t="shared" si="61"/>
        <v>0</v>
      </c>
      <c r="AK77" s="41">
        <f t="shared" si="62"/>
        <v>0</v>
      </c>
      <c r="AL77" s="41">
        <f t="shared" si="63"/>
        <v>0</v>
      </c>
      <c r="AM77" s="41">
        <f t="shared" si="64"/>
        <v>0</v>
      </c>
      <c r="AN77" s="41">
        <f t="shared" si="65"/>
        <v>0</v>
      </c>
      <c r="AO77" s="41">
        <f t="shared" si="66"/>
        <v>0</v>
      </c>
      <c r="AP77" s="41">
        <f t="shared" si="67"/>
        <v>0</v>
      </c>
      <c r="AQ77" s="41">
        <f t="shared" si="68"/>
        <v>0</v>
      </c>
      <c r="AR77" s="41">
        <f t="shared" si="69"/>
        <v>0</v>
      </c>
      <c r="AS77" s="41">
        <f t="shared" si="70"/>
        <v>34.473096295433905</v>
      </c>
      <c r="AT77" s="92">
        <f t="shared" si="74"/>
        <v>149.38341728021356</v>
      </c>
    </row>
    <row r="78" spans="2:46" s="3" customFormat="1" ht="12.75" x14ac:dyDescent="0.2">
      <c r="B78" s="12">
        <f t="shared" si="28"/>
        <v>52</v>
      </c>
      <c r="C78" s="13">
        <f t="shared" si="72"/>
        <v>0.18593903071970821</v>
      </c>
      <c r="D78" s="82">
        <f>IF($B78=V$21,'OBC Cost _Van Oord 2022'!$E$30,0)</f>
        <v>0</v>
      </c>
      <c r="E78" s="38">
        <f t="shared" si="30"/>
        <v>600</v>
      </c>
      <c r="F78" s="38"/>
      <c r="G78" s="38"/>
      <c r="H78" s="38"/>
      <c r="I78" s="38"/>
      <c r="J78" s="38"/>
      <c r="K78" s="38"/>
      <c r="L78" s="38"/>
      <c r="M78" s="38"/>
      <c r="N78" s="38"/>
      <c r="O78" s="38"/>
      <c r="P78" s="38"/>
      <c r="Q78" s="38"/>
      <c r="R78" s="38"/>
      <c r="S78" s="38"/>
      <c r="T78" s="38"/>
      <c r="U78" s="38"/>
      <c r="V78" s="38"/>
      <c r="W78" s="45">
        <f t="shared" si="71"/>
        <v>180</v>
      </c>
      <c r="X78" s="45"/>
      <c r="Y78" s="46">
        <f t="shared" si="73"/>
        <v>780</v>
      </c>
      <c r="Z78" s="41">
        <f t="shared" si="51"/>
        <v>0</v>
      </c>
      <c r="AA78" s="41">
        <f t="shared" si="52"/>
        <v>111.56341843182493</v>
      </c>
      <c r="AB78" s="41">
        <f t="shared" si="53"/>
        <v>0</v>
      </c>
      <c r="AC78" s="41">
        <f t="shared" si="54"/>
        <v>0</v>
      </c>
      <c r="AD78" s="41">
        <f t="shared" si="55"/>
        <v>0</v>
      </c>
      <c r="AE78" s="41">
        <f t="shared" si="56"/>
        <v>0</v>
      </c>
      <c r="AF78" s="41">
        <f t="shared" si="57"/>
        <v>0</v>
      </c>
      <c r="AG78" s="41">
        <f t="shared" si="58"/>
        <v>0</v>
      </c>
      <c r="AH78" s="41">
        <f t="shared" si="59"/>
        <v>0</v>
      </c>
      <c r="AI78" s="41">
        <f t="shared" si="60"/>
        <v>0</v>
      </c>
      <c r="AJ78" s="41">
        <f t="shared" si="61"/>
        <v>0</v>
      </c>
      <c r="AK78" s="41">
        <f t="shared" si="62"/>
        <v>0</v>
      </c>
      <c r="AL78" s="41">
        <f t="shared" si="63"/>
        <v>0</v>
      </c>
      <c r="AM78" s="41">
        <f t="shared" si="64"/>
        <v>0</v>
      </c>
      <c r="AN78" s="41">
        <f t="shared" si="65"/>
        <v>0</v>
      </c>
      <c r="AO78" s="41">
        <f t="shared" si="66"/>
        <v>0</v>
      </c>
      <c r="AP78" s="41">
        <f t="shared" si="67"/>
        <v>0</v>
      </c>
      <c r="AQ78" s="41">
        <f t="shared" si="68"/>
        <v>0</v>
      </c>
      <c r="AR78" s="41">
        <f t="shared" si="69"/>
        <v>0</v>
      </c>
      <c r="AS78" s="41">
        <f t="shared" si="70"/>
        <v>33.46902552954748</v>
      </c>
      <c r="AT78" s="92">
        <f t="shared" si="74"/>
        <v>145.03244396137239</v>
      </c>
    </row>
    <row r="79" spans="2:46" s="3" customFormat="1" ht="12.75" x14ac:dyDescent="0.2">
      <c r="B79" s="12">
        <f t="shared" si="28"/>
        <v>53</v>
      </c>
      <c r="C79" s="13">
        <f t="shared" si="72"/>
        <v>0.18052333079583321</v>
      </c>
      <c r="D79" s="82">
        <f>IF($B79=V$21,'OBC Cost _Van Oord 2022'!$E$30,0)</f>
        <v>0</v>
      </c>
      <c r="E79" s="38">
        <f t="shared" si="30"/>
        <v>229130</v>
      </c>
      <c r="F79" s="38"/>
      <c r="G79" s="38"/>
      <c r="H79" s="38"/>
      <c r="I79" s="38"/>
      <c r="J79" s="38"/>
      <c r="K79" s="38"/>
      <c r="L79" s="38"/>
      <c r="M79" s="38"/>
      <c r="N79" s="38"/>
      <c r="O79" s="38"/>
      <c r="P79" s="38"/>
      <c r="Q79" s="38"/>
      <c r="R79" s="38"/>
      <c r="S79" s="38"/>
      <c r="T79" s="38"/>
      <c r="U79" s="38"/>
      <c r="V79" s="38"/>
      <c r="W79" s="45">
        <f t="shared" si="71"/>
        <v>68739</v>
      </c>
      <c r="X79" s="45"/>
      <c r="Y79" s="46">
        <f t="shared" si="73"/>
        <v>297869</v>
      </c>
      <c r="Z79" s="41">
        <f t="shared" si="51"/>
        <v>0</v>
      </c>
      <c r="AA79" s="41">
        <f t="shared" si="52"/>
        <v>41363.310785249261</v>
      </c>
      <c r="AB79" s="41">
        <f t="shared" si="53"/>
        <v>0</v>
      </c>
      <c r="AC79" s="41">
        <f t="shared" si="54"/>
        <v>0</v>
      </c>
      <c r="AD79" s="41">
        <f t="shared" si="55"/>
        <v>0</v>
      </c>
      <c r="AE79" s="41">
        <f t="shared" si="56"/>
        <v>0</v>
      </c>
      <c r="AF79" s="41">
        <f t="shared" si="57"/>
        <v>0</v>
      </c>
      <c r="AG79" s="41">
        <f t="shared" si="58"/>
        <v>0</v>
      </c>
      <c r="AH79" s="41">
        <f t="shared" si="59"/>
        <v>0</v>
      </c>
      <c r="AI79" s="41">
        <f t="shared" si="60"/>
        <v>0</v>
      </c>
      <c r="AJ79" s="41">
        <f t="shared" si="61"/>
        <v>0</v>
      </c>
      <c r="AK79" s="41">
        <f t="shared" si="62"/>
        <v>0</v>
      </c>
      <c r="AL79" s="41">
        <f t="shared" si="63"/>
        <v>0</v>
      </c>
      <c r="AM79" s="41">
        <f t="shared" si="64"/>
        <v>0</v>
      </c>
      <c r="AN79" s="41">
        <f t="shared" si="65"/>
        <v>0</v>
      </c>
      <c r="AO79" s="41">
        <f t="shared" si="66"/>
        <v>0</v>
      </c>
      <c r="AP79" s="41">
        <f t="shared" si="67"/>
        <v>0</v>
      </c>
      <c r="AQ79" s="41">
        <f t="shared" si="68"/>
        <v>0</v>
      </c>
      <c r="AR79" s="41">
        <f t="shared" si="69"/>
        <v>0</v>
      </c>
      <c r="AS79" s="41">
        <f t="shared" si="70"/>
        <v>12408.993235574779</v>
      </c>
      <c r="AT79" s="92">
        <f t="shared" si="74"/>
        <v>53772.304020824042</v>
      </c>
    </row>
    <row r="80" spans="2:46" s="3" customFormat="1" ht="12.75" x14ac:dyDescent="0.2">
      <c r="B80" s="12">
        <f t="shared" si="28"/>
        <v>54</v>
      </c>
      <c r="C80" s="13">
        <f t="shared" si="72"/>
        <v>0.17526536970469245</v>
      </c>
      <c r="D80" s="82">
        <f>IF($B80=V$21,'OBC Cost _Van Oord 2022'!$E$30,0)</f>
        <v>0</v>
      </c>
      <c r="E80" s="38">
        <f t="shared" si="30"/>
        <v>600</v>
      </c>
      <c r="F80" s="38"/>
      <c r="G80" s="38"/>
      <c r="H80" s="38"/>
      <c r="I80" s="38"/>
      <c r="J80" s="38"/>
      <c r="K80" s="38"/>
      <c r="L80" s="38"/>
      <c r="M80" s="38"/>
      <c r="N80" s="38"/>
      <c r="O80" s="38"/>
      <c r="P80" s="38"/>
      <c r="Q80" s="38"/>
      <c r="R80" s="38"/>
      <c r="S80" s="38"/>
      <c r="T80" s="38"/>
      <c r="U80" s="38"/>
      <c r="V80" s="38"/>
      <c r="W80" s="45">
        <f t="shared" si="71"/>
        <v>180</v>
      </c>
      <c r="X80" s="45"/>
      <c r="Y80" s="46">
        <f t="shared" si="73"/>
        <v>780</v>
      </c>
      <c r="Z80" s="41">
        <f t="shared" si="51"/>
        <v>0</v>
      </c>
      <c r="AA80" s="41">
        <f t="shared" si="52"/>
        <v>105.15922182281547</v>
      </c>
      <c r="AB80" s="41">
        <f t="shared" si="53"/>
        <v>0</v>
      </c>
      <c r="AC80" s="41">
        <f t="shared" si="54"/>
        <v>0</v>
      </c>
      <c r="AD80" s="41">
        <f t="shared" si="55"/>
        <v>0</v>
      </c>
      <c r="AE80" s="41">
        <f t="shared" si="56"/>
        <v>0</v>
      </c>
      <c r="AF80" s="41">
        <f t="shared" si="57"/>
        <v>0</v>
      </c>
      <c r="AG80" s="41">
        <f t="shared" si="58"/>
        <v>0</v>
      </c>
      <c r="AH80" s="41">
        <f t="shared" si="59"/>
        <v>0</v>
      </c>
      <c r="AI80" s="41">
        <f t="shared" si="60"/>
        <v>0</v>
      </c>
      <c r="AJ80" s="41">
        <f t="shared" si="61"/>
        <v>0</v>
      </c>
      <c r="AK80" s="41">
        <f t="shared" si="62"/>
        <v>0</v>
      </c>
      <c r="AL80" s="41">
        <f t="shared" si="63"/>
        <v>0</v>
      </c>
      <c r="AM80" s="41">
        <f t="shared" si="64"/>
        <v>0</v>
      </c>
      <c r="AN80" s="41">
        <f t="shared" si="65"/>
        <v>0</v>
      </c>
      <c r="AO80" s="41">
        <f t="shared" si="66"/>
        <v>0</v>
      </c>
      <c r="AP80" s="41">
        <f t="shared" si="67"/>
        <v>0</v>
      </c>
      <c r="AQ80" s="41">
        <f t="shared" si="68"/>
        <v>0</v>
      </c>
      <c r="AR80" s="41">
        <f t="shared" si="69"/>
        <v>0</v>
      </c>
      <c r="AS80" s="41">
        <f t="shared" si="70"/>
        <v>31.547766546844642</v>
      </c>
      <c r="AT80" s="92">
        <f t="shared" si="74"/>
        <v>136.70698836966011</v>
      </c>
    </row>
    <row r="81" spans="2:46" s="3" customFormat="1" ht="12.75" x14ac:dyDescent="0.2">
      <c r="B81" s="12">
        <f t="shared" si="28"/>
        <v>55</v>
      </c>
      <c r="C81" s="13">
        <f t="shared" si="72"/>
        <v>0.17016055311135189</v>
      </c>
      <c r="D81" s="82">
        <f>IF($B81=V$21,'OBC Cost _Van Oord 2022'!$E$30,0)</f>
        <v>0</v>
      </c>
      <c r="E81" s="38">
        <f t="shared" si="30"/>
        <v>600</v>
      </c>
      <c r="F81" s="38"/>
      <c r="G81" s="38"/>
      <c r="H81" s="38"/>
      <c r="I81" s="38"/>
      <c r="J81" s="38"/>
      <c r="K81" s="38"/>
      <c r="L81" s="38"/>
      <c r="M81" s="38"/>
      <c r="N81" s="38"/>
      <c r="O81" s="38"/>
      <c r="P81" s="38"/>
      <c r="Q81" s="38"/>
      <c r="R81" s="38"/>
      <c r="S81" s="38"/>
      <c r="T81" s="38"/>
      <c r="U81" s="38"/>
      <c r="V81" s="38"/>
      <c r="W81" s="45">
        <f t="shared" si="71"/>
        <v>180</v>
      </c>
      <c r="X81" s="45"/>
      <c r="Y81" s="46">
        <f t="shared" si="73"/>
        <v>780</v>
      </c>
      <c r="Z81" s="41">
        <f t="shared" si="51"/>
        <v>0</v>
      </c>
      <c r="AA81" s="41">
        <f t="shared" si="52"/>
        <v>102.09633186681114</v>
      </c>
      <c r="AB81" s="41">
        <f t="shared" si="53"/>
        <v>0</v>
      </c>
      <c r="AC81" s="41">
        <f t="shared" si="54"/>
        <v>0</v>
      </c>
      <c r="AD81" s="41">
        <f t="shared" si="55"/>
        <v>0</v>
      </c>
      <c r="AE81" s="41">
        <f t="shared" si="56"/>
        <v>0</v>
      </c>
      <c r="AF81" s="41">
        <f t="shared" si="57"/>
        <v>0</v>
      </c>
      <c r="AG81" s="41">
        <f t="shared" si="58"/>
        <v>0</v>
      </c>
      <c r="AH81" s="41">
        <f t="shared" si="59"/>
        <v>0</v>
      </c>
      <c r="AI81" s="41">
        <f t="shared" si="60"/>
        <v>0</v>
      </c>
      <c r="AJ81" s="41">
        <f t="shared" si="61"/>
        <v>0</v>
      </c>
      <c r="AK81" s="41">
        <f t="shared" si="62"/>
        <v>0</v>
      </c>
      <c r="AL81" s="41">
        <f t="shared" si="63"/>
        <v>0</v>
      </c>
      <c r="AM81" s="41">
        <f t="shared" si="64"/>
        <v>0</v>
      </c>
      <c r="AN81" s="41">
        <f t="shared" si="65"/>
        <v>0</v>
      </c>
      <c r="AO81" s="41">
        <f t="shared" si="66"/>
        <v>0</v>
      </c>
      <c r="AP81" s="41">
        <f t="shared" si="67"/>
        <v>0</v>
      </c>
      <c r="AQ81" s="41">
        <f t="shared" si="68"/>
        <v>0</v>
      </c>
      <c r="AR81" s="41">
        <f t="shared" si="69"/>
        <v>0</v>
      </c>
      <c r="AS81" s="41">
        <f t="shared" si="70"/>
        <v>30.62889956004334</v>
      </c>
      <c r="AT81" s="92">
        <f t="shared" si="74"/>
        <v>132.72523142685449</v>
      </c>
    </row>
    <row r="82" spans="2:46" s="3" customFormat="1" ht="12.75" x14ac:dyDescent="0.2">
      <c r="B82" s="12">
        <f t="shared" si="28"/>
        <v>56</v>
      </c>
      <c r="C82" s="13">
        <f t="shared" si="72"/>
        <v>0.16520442049645814</v>
      </c>
      <c r="D82" s="82">
        <f>IF($B82=V$21,'OBC Cost _Van Oord 2022'!$E$30,0)</f>
        <v>0</v>
      </c>
      <c r="E82" s="38">
        <f t="shared" si="30"/>
        <v>600</v>
      </c>
      <c r="F82" s="38"/>
      <c r="G82" s="38"/>
      <c r="H82" s="38"/>
      <c r="I82" s="38"/>
      <c r="J82" s="38"/>
      <c r="K82" s="38"/>
      <c r="L82" s="38"/>
      <c r="M82" s="38"/>
      <c r="N82" s="38"/>
      <c r="O82" s="38"/>
      <c r="P82" s="38"/>
      <c r="Q82" s="38"/>
      <c r="R82" s="38"/>
      <c r="S82" s="38"/>
      <c r="T82" s="38"/>
      <c r="U82" s="38"/>
      <c r="V82" s="38"/>
      <c r="W82" s="45">
        <f t="shared" si="71"/>
        <v>180</v>
      </c>
      <c r="X82" s="45"/>
      <c r="Y82" s="46">
        <f t="shared" si="73"/>
        <v>780</v>
      </c>
      <c r="Z82" s="41">
        <f t="shared" si="51"/>
        <v>0</v>
      </c>
      <c r="AA82" s="41">
        <f t="shared" si="52"/>
        <v>99.122652297874879</v>
      </c>
      <c r="AB82" s="41">
        <f t="shared" si="53"/>
        <v>0</v>
      </c>
      <c r="AC82" s="41">
        <f t="shared" si="54"/>
        <v>0</v>
      </c>
      <c r="AD82" s="41">
        <f t="shared" si="55"/>
        <v>0</v>
      </c>
      <c r="AE82" s="41">
        <f t="shared" si="56"/>
        <v>0</v>
      </c>
      <c r="AF82" s="41">
        <f t="shared" si="57"/>
        <v>0</v>
      </c>
      <c r="AG82" s="41">
        <f t="shared" si="58"/>
        <v>0</v>
      </c>
      <c r="AH82" s="41">
        <f t="shared" si="59"/>
        <v>0</v>
      </c>
      <c r="AI82" s="41">
        <f t="shared" si="60"/>
        <v>0</v>
      </c>
      <c r="AJ82" s="41">
        <f t="shared" si="61"/>
        <v>0</v>
      </c>
      <c r="AK82" s="41">
        <f t="shared" si="62"/>
        <v>0</v>
      </c>
      <c r="AL82" s="41">
        <f t="shared" si="63"/>
        <v>0</v>
      </c>
      <c r="AM82" s="41">
        <f t="shared" si="64"/>
        <v>0</v>
      </c>
      <c r="AN82" s="41">
        <f t="shared" si="65"/>
        <v>0</v>
      </c>
      <c r="AO82" s="41">
        <f t="shared" si="66"/>
        <v>0</v>
      </c>
      <c r="AP82" s="41">
        <f t="shared" si="67"/>
        <v>0</v>
      </c>
      <c r="AQ82" s="41">
        <f t="shared" si="68"/>
        <v>0</v>
      </c>
      <c r="AR82" s="41">
        <f t="shared" si="69"/>
        <v>0</v>
      </c>
      <c r="AS82" s="41">
        <f t="shared" si="70"/>
        <v>29.736795689362467</v>
      </c>
      <c r="AT82" s="92">
        <f t="shared" si="74"/>
        <v>128.85944798723733</v>
      </c>
    </row>
    <row r="83" spans="2:46" s="3" customFormat="1" ht="12.75" x14ac:dyDescent="0.2">
      <c r="B83" s="12">
        <f t="shared" si="28"/>
        <v>57</v>
      </c>
      <c r="C83" s="13">
        <f t="shared" si="72"/>
        <v>0.16039264125869723</v>
      </c>
      <c r="D83" s="82">
        <f>IF($B83=V$21,'OBC Cost _Van Oord 2022'!$E$30,0)</f>
        <v>0</v>
      </c>
      <c r="E83" s="38">
        <f t="shared" si="30"/>
        <v>600</v>
      </c>
      <c r="F83" s="38"/>
      <c r="G83" s="38"/>
      <c r="H83" s="38"/>
      <c r="I83" s="38"/>
      <c r="J83" s="38"/>
      <c r="K83" s="38"/>
      <c r="L83" s="38"/>
      <c r="M83" s="38"/>
      <c r="N83" s="38"/>
      <c r="O83" s="38"/>
      <c r="P83" s="38"/>
      <c r="Q83" s="38"/>
      <c r="R83" s="38"/>
      <c r="S83" s="38"/>
      <c r="T83" s="38"/>
      <c r="U83" s="38"/>
      <c r="V83" s="38"/>
      <c r="W83" s="45">
        <f t="shared" si="71"/>
        <v>180</v>
      </c>
      <c r="X83" s="45"/>
      <c r="Y83" s="46">
        <f t="shared" si="73"/>
        <v>780</v>
      </c>
      <c r="Z83" s="41">
        <f t="shared" si="51"/>
        <v>0</v>
      </c>
      <c r="AA83" s="41">
        <f t="shared" si="52"/>
        <v>96.235584755218341</v>
      </c>
      <c r="AB83" s="41">
        <f t="shared" si="53"/>
        <v>0</v>
      </c>
      <c r="AC83" s="41">
        <f t="shared" si="54"/>
        <v>0</v>
      </c>
      <c r="AD83" s="41">
        <f t="shared" si="55"/>
        <v>0</v>
      </c>
      <c r="AE83" s="41">
        <f t="shared" si="56"/>
        <v>0</v>
      </c>
      <c r="AF83" s="41">
        <f t="shared" si="57"/>
        <v>0</v>
      </c>
      <c r="AG83" s="41">
        <f t="shared" si="58"/>
        <v>0</v>
      </c>
      <c r="AH83" s="41">
        <f t="shared" si="59"/>
        <v>0</v>
      </c>
      <c r="AI83" s="41">
        <f t="shared" si="60"/>
        <v>0</v>
      </c>
      <c r="AJ83" s="41">
        <f t="shared" si="61"/>
        <v>0</v>
      </c>
      <c r="AK83" s="41">
        <f t="shared" si="62"/>
        <v>0</v>
      </c>
      <c r="AL83" s="41">
        <f t="shared" si="63"/>
        <v>0</v>
      </c>
      <c r="AM83" s="41">
        <f t="shared" si="64"/>
        <v>0</v>
      </c>
      <c r="AN83" s="41">
        <f t="shared" si="65"/>
        <v>0</v>
      </c>
      <c r="AO83" s="41">
        <f t="shared" si="66"/>
        <v>0</v>
      </c>
      <c r="AP83" s="41">
        <f t="shared" si="67"/>
        <v>0</v>
      </c>
      <c r="AQ83" s="41">
        <f t="shared" si="68"/>
        <v>0</v>
      </c>
      <c r="AR83" s="41">
        <f t="shared" si="69"/>
        <v>0</v>
      </c>
      <c r="AS83" s="41">
        <f t="shared" si="70"/>
        <v>28.870675426565501</v>
      </c>
      <c r="AT83" s="92">
        <f t="shared" si="74"/>
        <v>125.10626018178384</v>
      </c>
    </row>
    <row r="84" spans="2:46" s="3" customFormat="1" ht="12.75" x14ac:dyDescent="0.2">
      <c r="B84" s="12">
        <f t="shared" si="28"/>
        <v>58</v>
      </c>
      <c r="C84" s="13">
        <f t="shared" si="72"/>
        <v>0.15572101093077401</v>
      </c>
      <c r="D84" s="82">
        <f>IF($B84=V$21,'OBC Cost _Van Oord 2022'!$E$30,0)</f>
        <v>0</v>
      </c>
      <c r="E84" s="38">
        <f t="shared" si="30"/>
        <v>87000</v>
      </c>
      <c r="F84" s="38"/>
      <c r="G84" s="38"/>
      <c r="H84" s="38"/>
      <c r="I84" s="38"/>
      <c r="J84" s="38"/>
      <c r="K84" s="38"/>
      <c r="L84" s="38"/>
      <c r="M84" s="38"/>
      <c r="N84" s="38"/>
      <c r="O84" s="38"/>
      <c r="P84" s="38"/>
      <c r="Q84" s="38"/>
      <c r="R84" s="38"/>
      <c r="S84" s="38"/>
      <c r="T84" s="38"/>
      <c r="U84" s="38"/>
      <c r="V84" s="38"/>
      <c r="W84" s="45">
        <f t="shared" si="71"/>
        <v>26100</v>
      </c>
      <c r="X84" s="45"/>
      <c r="Y84" s="46">
        <f t="shared" si="73"/>
        <v>113100</v>
      </c>
      <c r="Z84" s="41">
        <f t="shared" si="51"/>
        <v>0</v>
      </c>
      <c r="AA84" s="41">
        <f t="shared" si="52"/>
        <v>13547.727950977338</v>
      </c>
      <c r="AB84" s="41">
        <f t="shared" si="53"/>
        <v>0</v>
      </c>
      <c r="AC84" s="41">
        <f t="shared" si="54"/>
        <v>0</v>
      </c>
      <c r="AD84" s="41">
        <f t="shared" si="55"/>
        <v>0</v>
      </c>
      <c r="AE84" s="41">
        <f t="shared" si="56"/>
        <v>0</v>
      </c>
      <c r="AF84" s="41">
        <f t="shared" si="57"/>
        <v>0</v>
      </c>
      <c r="AG84" s="41">
        <f t="shared" si="58"/>
        <v>0</v>
      </c>
      <c r="AH84" s="41">
        <f t="shared" si="59"/>
        <v>0</v>
      </c>
      <c r="AI84" s="41">
        <f t="shared" si="60"/>
        <v>0</v>
      </c>
      <c r="AJ84" s="41">
        <f t="shared" si="61"/>
        <v>0</v>
      </c>
      <c r="AK84" s="41">
        <f t="shared" si="62"/>
        <v>0</v>
      </c>
      <c r="AL84" s="41">
        <f t="shared" si="63"/>
        <v>0</v>
      </c>
      <c r="AM84" s="41">
        <f t="shared" si="64"/>
        <v>0</v>
      </c>
      <c r="AN84" s="41">
        <f t="shared" si="65"/>
        <v>0</v>
      </c>
      <c r="AO84" s="41">
        <f t="shared" si="66"/>
        <v>0</v>
      </c>
      <c r="AP84" s="41">
        <f t="shared" si="67"/>
        <v>0</v>
      </c>
      <c r="AQ84" s="41">
        <f t="shared" si="68"/>
        <v>0</v>
      </c>
      <c r="AR84" s="41">
        <f t="shared" si="69"/>
        <v>0</v>
      </c>
      <c r="AS84" s="41">
        <f t="shared" si="70"/>
        <v>4064.3183852932016</v>
      </c>
      <c r="AT84" s="92">
        <f t="shared" si="74"/>
        <v>17612.046336270541</v>
      </c>
    </row>
    <row r="85" spans="2:46" s="3" customFormat="1" ht="12.75" x14ac:dyDescent="0.2">
      <c r="B85" s="12">
        <f t="shared" si="28"/>
        <v>59</v>
      </c>
      <c r="C85" s="13">
        <f t="shared" si="72"/>
        <v>0.15118544750560584</v>
      </c>
      <c r="D85" s="82">
        <f>IF($B85=V$21,'OBC Cost _Van Oord 2022'!$E$30,0)</f>
        <v>0</v>
      </c>
      <c r="E85" s="38">
        <f t="shared" si="30"/>
        <v>600</v>
      </c>
      <c r="F85" s="38"/>
      <c r="G85" s="38"/>
      <c r="H85" s="38"/>
      <c r="I85" s="38"/>
      <c r="J85" s="38"/>
      <c r="K85" s="38"/>
      <c r="L85" s="38"/>
      <c r="M85" s="38"/>
      <c r="N85" s="38"/>
      <c r="O85" s="38"/>
      <c r="P85" s="38"/>
      <c r="Q85" s="38"/>
      <c r="R85" s="38"/>
      <c r="S85" s="38"/>
      <c r="T85" s="38"/>
      <c r="U85" s="38"/>
      <c r="V85" s="38"/>
      <c r="W85" s="45">
        <f t="shared" si="71"/>
        <v>180</v>
      </c>
      <c r="X85" s="45"/>
      <c r="Y85" s="46">
        <f t="shared" si="73"/>
        <v>780</v>
      </c>
      <c r="Z85" s="41">
        <f t="shared" si="51"/>
        <v>0</v>
      </c>
      <c r="AA85" s="41">
        <f t="shared" si="52"/>
        <v>90.711268503363499</v>
      </c>
      <c r="AB85" s="41">
        <f t="shared" si="53"/>
        <v>0</v>
      </c>
      <c r="AC85" s="41">
        <f t="shared" si="54"/>
        <v>0</v>
      </c>
      <c r="AD85" s="41">
        <f t="shared" si="55"/>
        <v>0</v>
      </c>
      <c r="AE85" s="41">
        <f t="shared" si="56"/>
        <v>0</v>
      </c>
      <c r="AF85" s="41">
        <f t="shared" si="57"/>
        <v>0</v>
      </c>
      <c r="AG85" s="41">
        <f t="shared" si="58"/>
        <v>0</v>
      </c>
      <c r="AH85" s="41">
        <f t="shared" si="59"/>
        <v>0</v>
      </c>
      <c r="AI85" s="41">
        <f t="shared" si="60"/>
        <v>0</v>
      </c>
      <c r="AJ85" s="41">
        <f t="shared" si="61"/>
        <v>0</v>
      </c>
      <c r="AK85" s="41">
        <f t="shared" si="62"/>
        <v>0</v>
      </c>
      <c r="AL85" s="41">
        <f t="shared" si="63"/>
        <v>0</v>
      </c>
      <c r="AM85" s="41">
        <f t="shared" si="64"/>
        <v>0</v>
      </c>
      <c r="AN85" s="41">
        <f t="shared" si="65"/>
        <v>0</v>
      </c>
      <c r="AO85" s="41">
        <f t="shared" si="66"/>
        <v>0</v>
      </c>
      <c r="AP85" s="41">
        <f t="shared" si="67"/>
        <v>0</v>
      </c>
      <c r="AQ85" s="41">
        <f t="shared" si="68"/>
        <v>0</v>
      </c>
      <c r="AR85" s="41">
        <f t="shared" si="69"/>
        <v>0</v>
      </c>
      <c r="AS85" s="41">
        <f t="shared" si="70"/>
        <v>27.213380551009049</v>
      </c>
      <c r="AT85" s="92">
        <f t="shared" si="74"/>
        <v>117.92464905437255</v>
      </c>
    </row>
    <row r="86" spans="2:46" s="3" customFormat="1" ht="12.75" x14ac:dyDescent="0.2">
      <c r="B86" s="12">
        <f t="shared" si="28"/>
        <v>60</v>
      </c>
      <c r="C86" s="13">
        <f t="shared" si="72"/>
        <v>0.14678198786952024</v>
      </c>
      <c r="D86" s="82">
        <f>IF($B86=V$21,'OBC Cost _Van Oord 2022'!$E$30,0)</f>
        <v>0</v>
      </c>
      <c r="E86" s="38">
        <f t="shared" si="30"/>
        <v>600</v>
      </c>
      <c r="F86" s="38"/>
      <c r="G86" s="38"/>
      <c r="H86" s="38"/>
      <c r="I86" s="38"/>
      <c r="J86" s="38"/>
      <c r="K86" s="38"/>
      <c r="L86" s="38"/>
      <c r="M86" s="38"/>
      <c r="N86" s="38"/>
      <c r="O86" s="38"/>
      <c r="P86" s="38"/>
      <c r="Q86" s="38"/>
      <c r="R86" s="38"/>
      <c r="S86" s="38"/>
      <c r="T86" s="38"/>
      <c r="U86" s="38"/>
      <c r="V86" s="38"/>
      <c r="W86" s="45">
        <f t="shared" si="71"/>
        <v>180</v>
      </c>
      <c r="X86" s="45"/>
      <c r="Y86" s="46">
        <f t="shared" si="73"/>
        <v>780</v>
      </c>
      <c r="Z86" s="41">
        <f t="shared" si="51"/>
        <v>0</v>
      </c>
      <c r="AA86" s="41">
        <f t="shared" si="52"/>
        <v>88.069192721712142</v>
      </c>
      <c r="AB86" s="41">
        <f t="shared" si="53"/>
        <v>0</v>
      </c>
      <c r="AC86" s="41">
        <f t="shared" si="54"/>
        <v>0</v>
      </c>
      <c r="AD86" s="41">
        <f t="shared" si="55"/>
        <v>0</v>
      </c>
      <c r="AE86" s="41">
        <f t="shared" si="56"/>
        <v>0</v>
      </c>
      <c r="AF86" s="41">
        <f t="shared" si="57"/>
        <v>0</v>
      </c>
      <c r="AG86" s="41">
        <f t="shared" si="58"/>
        <v>0</v>
      </c>
      <c r="AH86" s="41">
        <f t="shared" si="59"/>
        <v>0</v>
      </c>
      <c r="AI86" s="41">
        <f t="shared" si="60"/>
        <v>0</v>
      </c>
      <c r="AJ86" s="41">
        <f t="shared" si="61"/>
        <v>0</v>
      </c>
      <c r="AK86" s="41">
        <f t="shared" si="62"/>
        <v>0</v>
      </c>
      <c r="AL86" s="41">
        <f t="shared" si="63"/>
        <v>0</v>
      </c>
      <c r="AM86" s="41">
        <f t="shared" si="64"/>
        <v>0</v>
      </c>
      <c r="AN86" s="41">
        <f t="shared" si="65"/>
        <v>0</v>
      </c>
      <c r="AO86" s="41">
        <f t="shared" si="66"/>
        <v>0</v>
      </c>
      <c r="AP86" s="41">
        <f t="shared" si="67"/>
        <v>0</v>
      </c>
      <c r="AQ86" s="41">
        <f t="shared" si="68"/>
        <v>0</v>
      </c>
      <c r="AR86" s="41">
        <f t="shared" si="69"/>
        <v>0</v>
      </c>
      <c r="AS86" s="41">
        <f t="shared" si="70"/>
        <v>26.420757816513643</v>
      </c>
      <c r="AT86" s="92">
        <f t="shared" si="74"/>
        <v>114.48995053822578</v>
      </c>
    </row>
    <row r="87" spans="2:46" s="3" customFormat="1" ht="12.75" x14ac:dyDescent="0.2">
      <c r="B87" s="12">
        <f t="shared" si="28"/>
        <v>61</v>
      </c>
      <c r="C87" s="13">
        <f t="shared" si="72"/>
        <v>0.14250678433934003</v>
      </c>
      <c r="D87" s="82">
        <f>IF($B87=V$21,'OBC Cost _Van Oord 2022'!$E$30,0)</f>
        <v>0</v>
      </c>
      <c r="E87" s="38">
        <f t="shared" si="30"/>
        <v>600</v>
      </c>
      <c r="F87" s="38"/>
      <c r="G87" s="38"/>
      <c r="H87" s="38"/>
      <c r="I87" s="38"/>
      <c r="J87" s="38"/>
      <c r="K87" s="38"/>
      <c r="L87" s="38"/>
      <c r="M87" s="38"/>
      <c r="N87" s="38"/>
      <c r="O87" s="38"/>
      <c r="P87" s="38"/>
      <c r="Q87" s="38"/>
      <c r="R87" s="38"/>
      <c r="S87" s="38"/>
      <c r="T87" s="38"/>
      <c r="U87" s="38"/>
      <c r="V87" s="38"/>
      <c r="W87" s="45">
        <f t="shared" si="71"/>
        <v>180</v>
      </c>
      <c r="X87" s="45"/>
      <c r="Y87" s="46">
        <f t="shared" si="73"/>
        <v>780</v>
      </c>
      <c r="Z87" s="41">
        <f t="shared" si="51"/>
        <v>0</v>
      </c>
      <c r="AA87" s="41">
        <f t="shared" si="52"/>
        <v>85.504070603604021</v>
      </c>
      <c r="AB87" s="41">
        <f t="shared" si="53"/>
        <v>0</v>
      </c>
      <c r="AC87" s="41">
        <f t="shared" si="54"/>
        <v>0</v>
      </c>
      <c r="AD87" s="41">
        <f t="shared" si="55"/>
        <v>0</v>
      </c>
      <c r="AE87" s="41">
        <f t="shared" si="56"/>
        <v>0</v>
      </c>
      <c r="AF87" s="41">
        <f t="shared" si="57"/>
        <v>0</v>
      </c>
      <c r="AG87" s="41">
        <f t="shared" si="58"/>
        <v>0</v>
      </c>
      <c r="AH87" s="41">
        <f t="shared" si="59"/>
        <v>0</v>
      </c>
      <c r="AI87" s="41">
        <f t="shared" si="60"/>
        <v>0</v>
      </c>
      <c r="AJ87" s="41">
        <f t="shared" si="61"/>
        <v>0</v>
      </c>
      <c r="AK87" s="41">
        <f t="shared" si="62"/>
        <v>0</v>
      </c>
      <c r="AL87" s="41">
        <f t="shared" si="63"/>
        <v>0</v>
      </c>
      <c r="AM87" s="41">
        <f t="shared" si="64"/>
        <v>0</v>
      </c>
      <c r="AN87" s="41">
        <f t="shared" si="65"/>
        <v>0</v>
      </c>
      <c r="AO87" s="41">
        <f t="shared" si="66"/>
        <v>0</v>
      </c>
      <c r="AP87" s="41">
        <f t="shared" si="67"/>
        <v>0</v>
      </c>
      <c r="AQ87" s="41">
        <f t="shared" si="68"/>
        <v>0</v>
      </c>
      <c r="AR87" s="41">
        <f t="shared" si="69"/>
        <v>0</v>
      </c>
      <c r="AS87" s="41">
        <f t="shared" si="70"/>
        <v>25.651221181081205</v>
      </c>
      <c r="AT87" s="92">
        <f t="shared" si="74"/>
        <v>111.15529178468523</v>
      </c>
    </row>
    <row r="88" spans="2:46" s="3" customFormat="1" ht="12.75" x14ac:dyDescent="0.2">
      <c r="B88" s="12">
        <f t="shared" si="28"/>
        <v>62</v>
      </c>
      <c r="C88" s="13">
        <f t="shared" si="72"/>
        <v>0.13835610130033013</v>
      </c>
      <c r="D88" s="82">
        <f>IF($B88=V$21,'OBC Cost _Van Oord 2022'!$E$30,0)</f>
        <v>0</v>
      </c>
      <c r="E88" s="38">
        <f t="shared" si="30"/>
        <v>600</v>
      </c>
      <c r="F88" s="38"/>
      <c r="G88" s="38"/>
      <c r="H88" s="38"/>
      <c r="I88" s="38"/>
      <c r="J88" s="38"/>
      <c r="K88" s="38"/>
      <c r="L88" s="38"/>
      <c r="M88" s="38"/>
      <c r="N88" s="38"/>
      <c r="O88" s="38"/>
      <c r="P88" s="38"/>
      <c r="Q88" s="38"/>
      <c r="R88" s="38"/>
      <c r="S88" s="38"/>
      <c r="T88" s="38"/>
      <c r="U88" s="38"/>
      <c r="V88" s="38"/>
      <c r="W88" s="45">
        <f t="shared" si="71"/>
        <v>180</v>
      </c>
      <c r="X88" s="45"/>
      <c r="Y88" s="46">
        <f t="shared" si="73"/>
        <v>780</v>
      </c>
      <c r="Z88" s="41">
        <f t="shared" si="51"/>
        <v>0</v>
      </c>
      <c r="AA88" s="41">
        <f t="shared" si="52"/>
        <v>83.01366078019808</v>
      </c>
      <c r="AB88" s="41">
        <f t="shared" si="53"/>
        <v>0</v>
      </c>
      <c r="AC88" s="41">
        <f t="shared" si="54"/>
        <v>0</v>
      </c>
      <c r="AD88" s="41">
        <f t="shared" si="55"/>
        <v>0</v>
      </c>
      <c r="AE88" s="41">
        <f t="shared" si="56"/>
        <v>0</v>
      </c>
      <c r="AF88" s="41">
        <f t="shared" si="57"/>
        <v>0</v>
      </c>
      <c r="AG88" s="41">
        <f t="shared" si="58"/>
        <v>0</v>
      </c>
      <c r="AH88" s="41">
        <f t="shared" si="59"/>
        <v>0</v>
      </c>
      <c r="AI88" s="41">
        <f t="shared" si="60"/>
        <v>0</v>
      </c>
      <c r="AJ88" s="41">
        <f t="shared" si="61"/>
        <v>0</v>
      </c>
      <c r="AK88" s="41">
        <f t="shared" si="62"/>
        <v>0</v>
      </c>
      <c r="AL88" s="41">
        <f t="shared" si="63"/>
        <v>0</v>
      </c>
      <c r="AM88" s="41">
        <f t="shared" si="64"/>
        <v>0</v>
      </c>
      <c r="AN88" s="41">
        <f t="shared" si="65"/>
        <v>0</v>
      </c>
      <c r="AO88" s="41">
        <f t="shared" si="66"/>
        <v>0</v>
      </c>
      <c r="AP88" s="41">
        <f t="shared" si="67"/>
        <v>0</v>
      </c>
      <c r="AQ88" s="41">
        <f t="shared" si="68"/>
        <v>0</v>
      </c>
      <c r="AR88" s="41">
        <f t="shared" si="69"/>
        <v>0</v>
      </c>
      <c r="AS88" s="41">
        <f t="shared" si="70"/>
        <v>24.904098234059422</v>
      </c>
      <c r="AT88" s="92">
        <f t="shared" si="74"/>
        <v>107.9177590142575</v>
      </c>
    </row>
    <row r="89" spans="2:46" s="3" customFormat="1" ht="12.75" x14ac:dyDescent="0.2">
      <c r="B89" s="12">
        <f t="shared" si="28"/>
        <v>63</v>
      </c>
      <c r="C89" s="13">
        <f t="shared" si="72"/>
        <v>0.13432631194206809</v>
      </c>
      <c r="D89" s="82">
        <f>IF($B89=V$21,'OBC Cost _Van Oord 2022'!$E$30,0)</f>
        <v>0</v>
      </c>
      <c r="E89" s="38">
        <f t="shared" si="30"/>
        <v>302130</v>
      </c>
      <c r="F89" s="38"/>
      <c r="G89" s="38"/>
      <c r="H89" s="38"/>
      <c r="I89" s="38"/>
      <c r="J89" s="38"/>
      <c r="K89" s="38"/>
      <c r="L89" s="38"/>
      <c r="M89" s="38"/>
      <c r="N89" s="38"/>
      <c r="O89" s="38"/>
      <c r="P89" s="38"/>
      <c r="Q89" s="38"/>
      <c r="R89" s="38"/>
      <c r="S89" s="38"/>
      <c r="T89" s="38"/>
      <c r="U89" s="38"/>
      <c r="V89" s="38"/>
      <c r="W89" s="45">
        <f t="shared" si="71"/>
        <v>90639</v>
      </c>
      <c r="X89" s="45"/>
      <c r="Y89" s="46">
        <f t="shared" si="73"/>
        <v>392769</v>
      </c>
      <c r="Z89" s="41">
        <f t="shared" si="51"/>
        <v>0</v>
      </c>
      <c r="AA89" s="41">
        <f t="shared" si="52"/>
        <v>40584.008627057032</v>
      </c>
      <c r="AB89" s="41">
        <f t="shared" si="53"/>
        <v>0</v>
      </c>
      <c r="AC89" s="41">
        <f t="shared" si="54"/>
        <v>0</v>
      </c>
      <c r="AD89" s="41">
        <f t="shared" si="55"/>
        <v>0</v>
      </c>
      <c r="AE89" s="41">
        <f t="shared" si="56"/>
        <v>0</v>
      </c>
      <c r="AF89" s="41">
        <f t="shared" si="57"/>
        <v>0</v>
      </c>
      <c r="AG89" s="41">
        <f t="shared" si="58"/>
        <v>0</v>
      </c>
      <c r="AH89" s="41">
        <f t="shared" si="59"/>
        <v>0</v>
      </c>
      <c r="AI89" s="41">
        <f t="shared" si="60"/>
        <v>0</v>
      </c>
      <c r="AJ89" s="41">
        <f t="shared" si="61"/>
        <v>0</v>
      </c>
      <c r="AK89" s="41">
        <f t="shared" si="62"/>
        <v>0</v>
      </c>
      <c r="AL89" s="41">
        <f t="shared" si="63"/>
        <v>0</v>
      </c>
      <c r="AM89" s="41">
        <f t="shared" si="64"/>
        <v>0</v>
      </c>
      <c r="AN89" s="41">
        <f t="shared" si="65"/>
        <v>0</v>
      </c>
      <c r="AO89" s="41">
        <f t="shared" si="66"/>
        <v>0</v>
      </c>
      <c r="AP89" s="41">
        <f t="shared" si="67"/>
        <v>0</v>
      </c>
      <c r="AQ89" s="41">
        <f t="shared" si="68"/>
        <v>0</v>
      </c>
      <c r="AR89" s="41">
        <f t="shared" si="69"/>
        <v>0</v>
      </c>
      <c r="AS89" s="41">
        <f t="shared" si="70"/>
        <v>12175.20258811711</v>
      </c>
      <c r="AT89" s="92">
        <f t="shared" si="74"/>
        <v>52759.211215174146</v>
      </c>
    </row>
    <row r="90" spans="2:46" s="3" customFormat="1" ht="12.75" x14ac:dyDescent="0.2">
      <c r="B90" s="12">
        <f t="shared" si="28"/>
        <v>64</v>
      </c>
      <c r="C90" s="13">
        <f t="shared" si="72"/>
        <v>0.1304138950893865</v>
      </c>
      <c r="D90" s="82">
        <f>IF($B90=V$21,'OBC Cost _Van Oord 2022'!$E$30,0)</f>
        <v>0</v>
      </c>
      <c r="E90" s="38">
        <f t="shared" si="30"/>
        <v>600</v>
      </c>
      <c r="F90" s="38"/>
      <c r="G90" s="38"/>
      <c r="H90" s="38"/>
      <c r="I90" s="38"/>
      <c r="J90" s="38"/>
      <c r="K90" s="38"/>
      <c r="L90" s="38"/>
      <c r="M90" s="38"/>
      <c r="N90" s="38"/>
      <c r="O90" s="38"/>
      <c r="P90" s="38"/>
      <c r="Q90" s="38"/>
      <c r="R90" s="38"/>
      <c r="S90" s="38"/>
      <c r="T90" s="38"/>
      <c r="U90" s="38"/>
      <c r="V90" s="38"/>
      <c r="W90" s="45">
        <f t="shared" si="71"/>
        <v>180</v>
      </c>
      <c r="X90" s="45"/>
      <c r="Y90" s="46">
        <f t="shared" si="73"/>
        <v>780</v>
      </c>
      <c r="Z90" s="41">
        <f t="shared" si="51"/>
        <v>0</v>
      </c>
      <c r="AA90" s="41">
        <f t="shared" si="52"/>
        <v>78.2483370536319</v>
      </c>
      <c r="AB90" s="41">
        <f t="shared" si="53"/>
        <v>0</v>
      </c>
      <c r="AC90" s="41">
        <f t="shared" si="54"/>
        <v>0</v>
      </c>
      <c r="AD90" s="41">
        <f t="shared" si="55"/>
        <v>0</v>
      </c>
      <c r="AE90" s="41">
        <f t="shared" si="56"/>
        <v>0</v>
      </c>
      <c r="AF90" s="41">
        <f t="shared" si="57"/>
        <v>0</v>
      </c>
      <c r="AG90" s="41">
        <f t="shared" si="58"/>
        <v>0</v>
      </c>
      <c r="AH90" s="41">
        <f t="shared" si="59"/>
        <v>0</v>
      </c>
      <c r="AI90" s="41">
        <f t="shared" si="60"/>
        <v>0</v>
      </c>
      <c r="AJ90" s="41">
        <f t="shared" si="61"/>
        <v>0</v>
      </c>
      <c r="AK90" s="41">
        <f t="shared" si="62"/>
        <v>0</v>
      </c>
      <c r="AL90" s="41">
        <f t="shared" si="63"/>
        <v>0</v>
      </c>
      <c r="AM90" s="41">
        <f t="shared" si="64"/>
        <v>0</v>
      </c>
      <c r="AN90" s="41">
        <f t="shared" si="65"/>
        <v>0</v>
      </c>
      <c r="AO90" s="41">
        <f t="shared" si="66"/>
        <v>0</v>
      </c>
      <c r="AP90" s="41">
        <f t="shared" si="67"/>
        <v>0</v>
      </c>
      <c r="AQ90" s="41">
        <f t="shared" si="68"/>
        <v>0</v>
      </c>
      <c r="AR90" s="41">
        <f t="shared" si="69"/>
        <v>0</v>
      </c>
      <c r="AS90" s="41">
        <f t="shared" si="70"/>
        <v>23.47450111608957</v>
      </c>
      <c r="AT90" s="92">
        <f t="shared" si="74"/>
        <v>101.72283816972147</v>
      </c>
    </row>
    <row r="91" spans="2:46" s="3" customFormat="1" ht="12.75" x14ac:dyDescent="0.2">
      <c r="B91" s="12">
        <f t="shared" ref="B91:B125" si="75">B90+1</f>
        <v>65</v>
      </c>
      <c r="C91" s="13">
        <f t="shared" si="72"/>
        <v>0.12661543212561796</v>
      </c>
      <c r="D91" s="82">
        <f>IF($B91=V$21,'OBC Cost _Van Oord 2022'!$E$30,0)</f>
        <v>0</v>
      </c>
      <c r="E91" s="38">
        <f t="shared" ref="E91:E125" si="76">IF(D91&gt;0,0,SUM(IF(AND(MOD(($B91-V$21),V$13)=0,$B91&gt;=V$21),X$13,0)+IF(AND(MOD(($B91-V$21),V$14)=0,$B91&gt;=V$21),X$14,0)+IF(AND(MOD(($B91-V$21),V$15)=0,$B91&gt;=V$21),X$15,0)+IF(AND(MOD(($B91-V$21),V$16)=0,$B91&gt;=V$21),X$16,0)+IF(AND(MOD(($B91-V$21),V$17)=0,$B91&gt;=V$21),X$17,0)+IF(AND(MOD(($B91-V$21),V$18)=0,$B91&gt;=V$21),X$18,0)+IF(AND(MOD(($B91-V$21),V$19)=0,$B91&gt;=V$21),X$19,0)+IF(AND(MOD(($B91-V$21),V$20)=0,$B91&gt;=V$21),X$20,0)))</f>
        <v>600</v>
      </c>
      <c r="F91" s="38"/>
      <c r="G91" s="38"/>
      <c r="H91" s="38"/>
      <c r="I91" s="38"/>
      <c r="J91" s="38"/>
      <c r="K91" s="38"/>
      <c r="L91" s="38"/>
      <c r="M91" s="38"/>
      <c r="N91" s="38"/>
      <c r="O91" s="38"/>
      <c r="P91" s="38"/>
      <c r="Q91" s="38"/>
      <c r="R91" s="38"/>
      <c r="S91" s="38"/>
      <c r="T91" s="38"/>
      <c r="U91" s="38"/>
      <c r="V91" s="38"/>
      <c r="W91" s="45">
        <f t="shared" si="71"/>
        <v>180</v>
      </c>
      <c r="X91" s="45"/>
      <c r="Y91" s="46">
        <f t="shared" si="73"/>
        <v>780</v>
      </c>
      <c r="Z91" s="41">
        <f t="shared" si="51"/>
        <v>0</v>
      </c>
      <c r="AA91" s="41">
        <f t="shared" si="52"/>
        <v>75.969259275370774</v>
      </c>
      <c r="AB91" s="41">
        <f t="shared" si="53"/>
        <v>0</v>
      </c>
      <c r="AC91" s="41">
        <f t="shared" si="54"/>
        <v>0</v>
      </c>
      <c r="AD91" s="41">
        <f t="shared" si="55"/>
        <v>0</v>
      </c>
      <c r="AE91" s="41">
        <f t="shared" si="56"/>
        <v>0</v>
      </c>
      <c r="AF91" s="41">
        <f t="shared" si="57"/>
        <v>0</v>
      </c>
      <c r="AG91" s="41">
        <f t="shared" si="58"/>
        <v>0</v>
      </c>
      <c r="AH91" s="41">
        <f t="shared" si="59"/>
        <v>0</v>
      </c>
      <c r="AI91" s="41">
        <f t="shared" si="60"/>
        <v>0</v>
      </c>
      <c r="AJ91" s="41">
        <f t="shared" si="61"/>
        <v>0</v>
      </c>
      <c r="AK91" s="41">
        <f t="shared" si="62"/>
        <v>0</v>
      </c>
      <c r="AL91" s="41">
        <f t="shared" si="63"/>
        <v>0</v>
      </c>
      <c r="AM91" s="41">
        <f t="shared" si="64"/>
        <v>0</v>
      </c>
      <c r="AN91" s="41">
        <f t="shared" si="65"/>
        <v>0</v>
      </c>
      <c r="AO91" s="41">
        <f t="shared" si="66"/>
        <v>0</v>
      </c>
      <c r="AP91" s="41">
        <f t="shared" si="67"/>
        <v>0</v>
      </c>
      <c r="AQ91" s="41">
        <f t="shared" si="68"/>
        <v>0</v>
      </c>
      <c r="AR91" s="41">
        <f t="shared" si="69"/>
        <v>0</v>
      </c>
      <c r="AS91" s="41">
        <f t="shared" si="70"/>
        <v>22.790777782611233</v>
      </c>
      <c r="AT91" s="92">
        <f t="shared" si="74"/>
        <v>98.760037057982004</v>
      </c>
    </row>
    <row r="92" spans="2:46" s="3" customFormat="1" ht="12.75" x14ac:dyDescent="0.2">
      <c r="B92" s="12">
        <f t="shared" si="75"/>
        <v>66</v>
      </c>
      <c r="C92" s="13">
        <f t="shared" si="72"/>
        <v>0.12292760400545433</v>
      </c>
      <c r="D92" s="82">
        <f>IF($B92=V$21,'OBC Cost _Van Oord 2022'!$E$30,0)</f>
        <v>0</v>
      </c>
      <c r="E92" s="38">
        <f t="shared" si="76"/>
        <v>600</v>
      </c>
      <c r="F92" s="38"/>
      <c r="G92" s="38"/>
      <c r="H92" s="38"/>
      <c r="I92" s="38"/>
      <c r="J92" s="38"/>
      <c r="K92" s="38"/>
      <c r="L92" s="38"/>
      <c r="M92" s="38"/>
      <c r="N92" s="38"/>
      <c r="O92" s="38"/>
      <c r="P92" s="38"/>
      <c r="Q92" s="38"/>
      <c r="R92" s="38"/>
      <c r="S92" s="38"/>
      <c r="T92" s="38"/>
      <c r="U92" s="38"/>
      <c r="V92" s="38"/>
      <c r="W92" s="45">
        <f t="shared" si="71"/>
        <v>180</v>
      </c>
      <c r="X92" s="45"/>
      <c r="Y92" s="46">
        <f t="shared" si="73"/>
        <v>780</v>
      </c>
      <c r="Z92" s="41">
        <f t="shared" si="51"/>
        <v>0</v>
      </c>
      <c r="AA92" s="41">
        <f t="shared" si="52"/>
        <v>73.756562403272596</v>
      </c>
      <c r="AB92" s="41">
        <f t="shared" si="53"/>
        <v>0</v>
      </c>
      <c r="AC92" s="41">
        <f t="shared" si="54"/>
        <v>0</v>
      </c>
      <c r="AD92" s="41">
        <f t="shared" si="55"/>
        <v>0</v>
      </c>
      <c r="AE92" s="41">
        <f t="shared" si="56"/>
        <v>0</v>
      </c>
      <c r="AF92" s="41">
        <f t="shared" si="57"/>
        <v>0</v>
      </c>
      <c r="AG92" s="41">
        <f t="shared" si="58"/>
        <v>0</v>
      </c>
      <c r="AH92" s="41">
        <f t="shared" si="59"/>
        <v>0</v>
      </c>
      <c r="AI92" s="41">
        <f t="shared" si="60"/>
        <v>0</v>
      </c>
      <c r="AJ92" s="41">
        <f t="shared" si="61"/>
        <v>0</v>
      </c>
      <c r="AK92" s="41">
        <f t="shared" si="62"/>
        <v>0</v>
      </c>
      <c r="AL92" s="41">
        <f t="shared" si="63"/>
        <v>0</v>
      </c>
      <c r="AM92" s="41">
        <f t="shared" si="64"/>
        <v>0</v>
      </c>
      <c r="AN92" s="41">
        <f t="shared" si="65"/>
        <v>0</v>
      </c>
      <c r="AO92" s="41">
        <f t="shared" si="66"/>
        <v>0</v>
      </c>
      <c r="AP92" s="41">
        <f t="shared" si="67"/>
        <v>0</v>
      </c>
      <c r="AQ92" s="41">
        <f t="shared" si="68"/>
        <v>0</v>
      </c>
      <c r="AR92" s="41">
        <f t="shared" si="69"/>
        <v>0</v>
      </c>
      <c r="AS92" s="41">
        <f t="shared" si="70"/>
        <v>22.126968720981779</v>
      </c>
      <c r="AT92" s="92">
        <f t="shared" si="74"/>
        <v>95.883531124254375</v>
      </c>
    </row>
    <row r="93" spans="2:46" s="3" customFormat="1" ht="12.75" x14ac:dyDescent="0.2">
      <c r="B93" s="12">
        <f t="shared" si="75"/>
        <v>67</v>
      </c>
      <c r="C93" s="13">
        <f t="shared" si="72"/>
        <v>0.11934718835481002</v>
      </c>
      <c r="D93" s="82">
        <f>IF($B93=V$21,'OBC Cost _Van Oord 2022'!$E$30,0)</f>
        <v>0</v>
      </c>
      <c r="E93" s="38">
        <f t="shared" si="76"/>
        <v>600</v>
      </c>
      <c r="F93" s="38"/>
      <c r="G93" s="38"/>
      <c r="H93" s="38"/>
      <c r="I93" s="38"/>
      <c r="J93" s="38"/>
      <c r="K93" s="38"/>
      <c r="L93" s="38"/>
      <c r="M93" s="38"/>
      <c r="N93" s="38"/>
      <c r="O93" s="38"/>
      <c r="P93" s="38"/>
      <c r="Q93" s="38"/>
      <c r="R93" s="38"/>
      <c r="S93" s="38"/>
      <c r="T93" s="38"/>
      <c r="U93" s="38"/>
      <c r="V93" s="38"/>
      <c r="W93" s="45">
        <f t="shared" si="71"/>
        <v>180</v>
      </c>
      <c r="X93" s="45"/>
      <c r="Y93" s="46">
        <f t="shared" si="73"/>
        <v>780</v>
      </c>
      <c r="Z93" s="41">
        <f t="shared" ref="Z93:Z125" si="77">D93*$C93</f>
        <v>0</v>
      </c>
      <c r="AA93" s="41">
        <f t="shared" ref="AA93:AA125" si="78">E93*$C93</f>
        <v>71.608313012886015</v>
      </c>
      <c r="AB93" s="41">
        <f t="shared" ref="AB93:AB125" si="79">F93*$C93</f>
        <v>0</v>
      </c>
      <c r="AC93" s="41">
        <f t="shared" ref="AC93:AC125" si="80">G93*$C93</f>
        <v>0</v>
      </c>
      <c r="AD93" s="41">
        <f t="shared" ref="AD93:AD125" si="81">H93*$C93</f>
        <v>0</v>
      </c>
      <c r="AE93" s="41">
        <f t="shared" ref="AE93:AE125" si="82">I93*$C93</f>
        <v>0</v>
      </c>
      <c r="AF93" s="41">
        <f t="shared" ref="AF93:AF125" si="83">J93*$C93</f>
        <v>0</v>
      </c>
      <c r="AG93" s="41">
        <f t="shared" ref="AG93:AG125" si="84">K93*$C93</f>
        <v>0</v>
      </c>
      <c r="AH93" s="41">
        <f t="shared" ref="AH93:AH125" si="85">L93*$C93</f>
        <v>0</v>
      </c>
      <c r="AI93" s="41">
        <f t="shared" ref="AI93:AI125" si="86">M93*$C93</f>
        <v>0</v>
      </c>
      <c r="AJ93" s="41">
        <f t="shared" ref="AJ93:AJ125" si="87">N93*$C93</f>
        <v>0</v>
      </c>
      <c r="AK93" s="41">
        <f t="shared" ref="AK93:AK125" si="88">O93*$C93</f>
        <v>0</v>
      </c>
      <c r="AL93" s="41">
        <f t="shared" ref="AL93:AL125" si="89">P93*$C93</f>
        <v>0</v>
      </c>
      <c r="AM93" s="41">
        <f t="shared" ref="AM93:AM125" si="90">Q93*$C93</f>
        <v>0</v>
      </c>
      <c r="AN93" s="41">
        <f t="shared" ref="AN93:AN125" si="91">R93*$C93</f>
        <v>0</v>
      </c>
      <c r="AO93" s="41">
        <f t="shared" ref="AO93:AO125" si="92">S93*$C93</f>
        <v>0</v>
      </c>
      <c r="AP93" s="41">
        <f t="shared" ref="AP93:AP125" si="93">T93*$C93</f>
        <v>0</v>
      </c>
      <c r="AQ93" s="41">
        <f t="shared" ref="AQ93:AQ125" si="94">U93*$C93</f>
        <v>0</v>
      </c>
      <c r="AR93" s="41">
        <f t="shared" ref="AR93:AR125" si="95">V93*$C93</f>
        <v>0</v>
      </c>
      <c r="AS93" s="41">
        <f t="shared" ref="AS93:AS125" si="96">W93*$C93</f>
        <v>21.482493903865805</v>
      </c>
      <c r="AT93" s="92">
        <f t="shared" si="74"/>
        <v>93.090806916751816</v>
      </c>
    </row>
    <row r="94" spans="2:46" s="3" customFormat="1" ht="12.75" x14ac:dyDescent="0.2">
      <c r="B94" s="12">
        <f t="shared" si="75"/>
        <v>68</v>
      </c>
      <c r="C94" s="13">
        <f t="shared" si="72"/>
        <v>0.11587105665515536</v>
      </c>
      <c r="D94" s="82">
        <f>IF($B94=V$21,'OBC Cost _Van Oord 2022'!$E$30,0)</f>
        <v>0</v>
      </c>
      <c r="E94" s="38">
        <f t="shared" si="76"/>
        <v>87000</v>
      </c>
      <c r="F94" s="38"/>
      <c r="G94" s="38"/>
      <c r="H94" s="38"/>
      <c r="I94" s="38"/>
      <c r="J94" s="38"/>
      <c r="K94" s="38"/>
      <c r="L94" s="38"/>
      <c r="M94" s="38"/>
      <c r="N94" s="38"/>
      <c r="O94" s="38"/>
      <c r="P94" s="38"/>
      <c r="Q94" s="38"/>
      <c r="R94" s="38"/>
      <c r="S94" s="38"/>
      <c r="T94" s="38"/>
      <c r="U94" s="38"/>
      <c r="V94" s="38"/>
      <c r="W94" s="45">
        <f t="shared" ref="W94:W125" si="97">0.3*E94</f>
        <v>26100</v>
      </c>
      <c r="X94" s="45"/>
      <c r="Y94" s="46">
        <f t="shared" si="73"/>
        <v>113100</v>
      </c>
      <c r="Z94" s="41">
        <f t="shared" si="77"/>
        <v>0</v>
      </c>
      <c r="AA94" s="41">
        <f t="shared" si="78"/>
        <v>10080.781928998516</v>
      </c>
      <c r="AB94" s="41">
        <f t="shared" si="79"/>
        <v>0</v>
      </c>
      <c r="AC94" s="41">
        <f t="shared" si="80"/>
        <v>0</v>
      </c>
      <c r="AD94" s="41">
        <f t="shared" si="81"/>
        <v>0</v>
      </c>
      <c r="AE94" s="41">
        <f t="shared" si="82"/>
        <v>0</v>
      </c>
      <c r="AF94" s="41">
        <f t="shared" si="83"/>
        <v>0</v>
      </c>
      <c r="AG94" s="41">
        <f t="shared" si="84"/>
        <v>0</v>
      </c>
      <c r="AH94" s="41">
        <f t="shared" si="85"/>
        <v>0</v>
      </c>
      <c r="AI94" s="41">
        <f t="shared" si="86"/>
        <v>0</v>
      </c>
      <c r="AJ94" s="41">
        <f t="shared" si="87"/>
        <v>0</v>
      </c>
      <c r="AK94" s="41">
        <f t="shared" si="88"/>
        <v>0</v>
      </c>
      <c r="AL94" s="41">
        <f t="shared" si="89"/>
        <v>0</v>
      </c>
      <c r="AM94" s="41">
        <f t="shared" si="90"/>
        <v>0</v>
      </c>
      <c r="AN94" s="41">
        <f t="shared" si="91"/>
        <v>0</v>
      </c>
      <c r="AO94" s="41">
        <f t="shared" si="92"/>
        <v>0</v>
      </c>
      <c r="AP94" s="41">
        <f t="shared" si="93"/>
        <v>0</v>
      </c>
      <c r="AQ94" s="41">
        <f t="shared" si="94"/>
        <v>0</v>
      </c>
      <c r="AR94" s="41">
        <f t="shared" si="95"/>
        <v>0</v>
      </c>
      <c r="AS94" s="41">
        <f t="shared" si="96"/>
        <v>3024.2345786995547</v>
      </c>
      <c r="AT94" s="92">
        <f t="shared" si="74"/>
        <v>13105.01650769807</v>
      </c>
    </row>
    <row r="95" spans="2:46" s="3" customFormat="1" ht="12.75" x14ac:dyDescent="0.2">
      <c r="B95" s="12">
        <f t="shared" si="75"/>
        <v>69</v>
      </c>
      <c r="C95" s="13">
        <f t="shared" si="72"/>
        <v>0.11249617150985958</v>
      </c>
      <c r="D95" s="82">
        <f>IF($B95=V$21,'OBC Cost _Van Oord 2022'!$E$30,0)</f>
        <v>0</v>
      </c>
      <c r="E95" s="38">
        <f t="shared" si="76"/>
        <v>600</v>
      </c>
      <c r="F95" s="38"/>
      <c r="G95" s="38"/>
      <c r="H95" s="38"/>
      <c r="I95" s="38"/>
      <c r="J95" s="38"/>
      <c r="K95" s="38"/>
      <c r="L95" s="38"/>
      <c r="M95" s="38"/>
      <c r="N95" s="38"/>
      <c r="O95" s="38"/>
      <c r="P95" s="38"/>
      <c r="Q95" s="38"/>
      <c r="R95" s="38"/>
      <c r="S95" s="38"/>
      <c r="T95" s="38"/>
      <c r="U95" s="38"/>
      <c r="V95" s="38"/>
      <c r="W95" s="45">
        <f t="shared" si="97"/>
        <v>180</v>
      </c>
      <c r="X95" s="45"/>
      <c r="Y95" s="46">
        <f t="shared" si="73"/>
        <v>780</v>
      </c>
      <c r="Z95" s="41">
        <f t="shared" si="77"/>
        <v>0</v>
      </c>
      <c r="AA95" s="41">
        <f t="shared" si="78"/>
        <v>67.497702905915745</v>
      </c>
      <c r="AB95" s="41">
        <f t="shared" si="79"/>
        <v>0</v>
      </c>
      <c r="AC95" s="41">
        <f t="shared" si="80"/>
        <v>0</v>
      </c>
      <c r="AD95" s="41">
        <f t="shared" si="81"/>
        <v>0</v>
      </c>
      <c r="AE95" s="41">
        <f t="shared" si="82"/>
        <v>0</v>
      </c>
      <c r="AF95" s="41">
        <f t="shared" si="83"/>
        <v>0</v>
      </c>
      <c r="AG95" s="41">
        <f t="shared" si="84"/>
        <v>0</v>
      </c>
      <c r="AH95" s="41">
        <f t="shared" si="85"/>
        <v>0</v>
      </c>
      <c r="AI95" s="41">
        <f t="shared" si="86"/>
        <v>0</v>
      </c>
      <c r="AJ95" s="41">
        <f t="shared" si="87"/>
        <v>0</v>
      </c>
      <c r="AK95" s="41">
        <f t="shared" si="88"/>
        <v>0</v>
      </c>
      <c r="AL95" s="41">
        <f t="shared" si="89"/>
        <v>0</v>
      </c>
      <c r="AM95" s="41">
        <f t="shared" si="90"/>
        <v>0</v>
      </c>
      <c r="AN95" s="41">
        <f t="shared" si="91"/>
        <v>0</v>
      </c>
      <c r="AO95" s="41">
        <f t="shared" si="92"/>
        <v>0</v>
      </c>
      <c r="AP95" s="41">
        <f t="shared" si="93"/>
        <v>0</v>
      </c>
      <c r="AQ95" s="41">
        <f t="shared" si="94"/>
        <v>0</v>
      </c>
      <c r="AR95" s="41">
        <f t="shared" si="95"/>
        <v>0</v>
      </c>
      <c r="AS95" s="41">
        <f t="shared" si="96"/>
        <v>20.249310871774725</v>
      </c>
      <c r="AT95" s="92">
        <f t="shared" si="74"/>
        <v>87.747013777690469</v>
      </c>
    </row>
    <row r="96" spans="2:46" s="3" customFormat="1" ht="12.75" x14ac:dyDescent="0.2">
      <c r="B96" s="12">
        <f t="shared" si="75"/>
        <v>70</v>
      </c>
      <c r="C96" s="13">
        <f t="shared" si="72"/>
        <v>0.10921958399015493</v>
      </c>
      <c r="D96" s="82">
        <f>IF($B96=V$21,'OBC Cost _Van Oord 2022'!$E$30,0)</f>
        <v>0</v>
      </c>
      <c r="E96" s="38">
        <f t="shared" si="76"/>
        <v>600</v>
      </c>
      <c r="F96" s="38"/>
      <c r="G96" s="38"/>
      <c r="H96" s="38"/>
      <c r="I96" s="38"/>
      <c r="J96" s="38"/>
      <c r="K96" s="38"/>
      <c r="L96" s="38"/>
      <c r="M96" s="38"/>
      <c r="N96" s="38"/>
      <c r="O96" s="38"/>
      <c r="P96" s="38"/>
      <c r="Q96" s="38"/>
      <c r="R96" s="38"/>
      <c r="S96" s="38"/>
      <c r="T96" s="38"/>
      <c r="U96" s="38"/>
      <c r="V96" s="38"/>
      <c r="W96" s="45">
        <f t="shared" si="97"/>
        <v>180</v>
      </c>
      <c r="X96" s="45"/>
      <c r="Y96" s="46">
        <f t="shared" si="73"/>
        <v>780</v>
      </c>
      <c r="Z96" s="41">
        <f t="shared" si="77"/>
        <v>0</v>
      </c>
      <c r="AA96" s="41">
        <f t="shared" si="78"/>
        <v>65.531750394092953</v>
      </c>
      <c r="AB96" s="41">
        <f t="shared" si="79"/>
        <v>0</v>
      </c>
      <c r="AC96" s="41">
        <f t="shared" si="80"/>
        <v>0</v>
      </c>
      <c r="AD96" s="41">
        <f t="shared" si="81"/>
        <v>0</v>
      </c>
      <c r="AE96" s="41">
        <f t="shared" si="82"/>
        <v>0</v>
      </c>
      <c r="AF96" s="41">
        <f t="shared" si="83"/>
        <v>0</v>
      </c>
      <c r="AG96" s="41">
        <f t="shared" si="84"/>
        <v>0</v>
      </c>
      <c r="AH96" s="41">
        <f t="shared" si="85"/>
        <v>0</v>
      </c>
      <c r="AI96" s="41">
        <f t="shared" si="86"/>
        <v>0</v>
      </c>
      <c r="AJ96" s="41">
        <f t="shared" si="87"/>
        <v>0</v>
      </c>
      <c r="AK96" s="41">
        <f t="shared" si="88"/>
        <v>0</v>
      </c>
      <c r="AL96" s="41">
        <f t="shared" si="89"/>
        <v>0</v>
      </c>
      <c r="AM96" s="41">
        <f t="shared" si="90"/>
        <v>0</v>
      </c>
      <c r="AN96" s="41">
        <f t="shared" si="91"/>
        <v>0</v>
      </c>
      <c r="AO96" s="41">
        <f t="shared" si="92"/>
        <v>0</v>
      </c>
      <c r="AP96" s="41">
        <f t="shared" si="93"/>
        <v>0</v>
      </c>
      <c r="AQ96" s="41">
        <f t="shared" si="94"/>
        <v>0</v>
      </c>
      <c r="AR96" s="41">
        <f t="shared" si="95"/>
        <v>0</v>
      </c>
      <c r="AS96" s="41">
        <f t="shared" si="96"/>
        <v>19.659525118227887</v>
      </c>
      <c r="AT96" s="92">
        <f t="shared" si="74"/>
        <v>85.191275512320843</v>
      </c>
    </row>
    <row r="97" spans="2:46" s="3" customFormat="1" ht="12.75" x14ac:dyDescent="0.2">
      <c r="B97" s="12">
        <f t="shared" si="75"/>
        <v>71</v>
      </c>
      <c r="C97" s="13">
        <f t="shared" si="72"/>
        <v>0.10603843105840284</v>
      </c>
      <c r="D97" s="82">
        <f>IF($B97=V$21,'OBC Cost _Van Oord 2022'!$E$30,0)</f>
        <v>0</v>
      </c>
      <c r="E97" s="38">
        <f t="shared" si="76"/>
        <v>600</v>
      </c>
      <c r="F97" s="38"/>
      <c r="G97" s="38"/>
      <c r="H97" s="38"/>
      <c r="I97" s="38"/>
      <c r="J97" s="38"/>
      <c r="K97" s="38"/>
      <c r="L97" s="38"/>
      <c r="M97" s="38"/>
      <c r="N97" s="38"/>
      <c r="O97" s="38"/>
      <c r="P97" s="38"/>
      <c r="Q97" s="38"/>
      <c r="R97" s="38"/>
      <c r="S97" s="38"/>
      <c r="T97" s="38"/>
      <c r="U97" s="38"/>
      <c r="V97" s="38"/>
      <c r="W97" s="45">
        <f t="shared" si="97"/>
        <v>180</v>
      </c>
      <c r="X97" s="45"/>
      <c r="Y97" s="46">
        <f t="shared" si="73"/>
        <v>780</v>
      </c>
      <c r="Z97" s="41">
        <f t="shared" si="77"/>
        <v>0</v>
      </c>
      <c r="AA97" s="41">
        <f t="shared" si="78"/>
        <v>63.623058635041701</v>
      </c>
      <c r="AB97" s="41">
        <f t="shared" si="79"/>
        <v>0</v>
      </c>
      <c r="AC97" s="41">
        <f t="shared" si="80"/>
        <v>0</v>
      </c>
      <c r="AD97" s="41">
        <f t="shared" si="81"/>
        <v>0</v>
      </c>
      <c r="AE97" s="41">
        <f t="shared" si="82"/>
        <v>0</v>
      </c>
      <c r="AF97" s="41">
        <f t="shared" si="83"/>
        <v>0</v>
      </c>
      <c r="AG97" s="41">
        <f t="shared" si="84"/>
        <v>0</v>
      </c>
      <c r="AH97" s="41">
        <f t="shared" si="85"/>
        <v>0</v>
      </c>
      <c r="AI97" s="41">
        <f t="shared" si="86"/>
        <v>0</v>
      </c>
      <c r="AJ97" s="41">
        <f t="shared" si="87"/>
        <v>0</v>
      </c>
      <c r="AK97" s="41">
        <f t="shared" si="88"/>
        <v>0</v>
      </c>
      <c r="AL97" s="41">
        <f t="shared" si="89"/>
        <v>0</v>
      </c>
      <c r="AM97" s="41">
        <f t="shared" si="90"/>
        <v>0</v>
      </c>
      <c r="AN97" s="41">
        <f t="shared" si="91"/>
        <v>0</v>
      </c>
      <c r="AO97" s="41">
        <f t="shared" si="92"/>
        <v>0</v>
      </c>
      <c r="AP97" s="41">
        <f t="shared" si="93"/>
        <v>0</v>
      </c>
      <c r="AQ97" s="41">
        <f t="shared" si="94"/>
        <v>0</v>
      </c>
      <c r="AR97" s="41">
        <f t="shared" si="95"/>
        <v>0</v>
      </c>
      <c r="AS97" s="41">
        <f t="shared" si="96"/>
        <v>19.08691759051251</v>
      </c>
      <c r="AT97" s="92">
        <f t="shared" si="74"/>
        <v>82.709976225554215</v>
      </c>
    </row>
    <row r="98" spans="2:46" s="3" customFormat="1" ht="12.75" x14ac:dyDescent="0.2">
      <c r="B98" s="12">
        <f t="shared" si="75"/>
        <v>72</v>
      </c>
      <c r="C98" s="13">
        <f t="shared" si="72"/>
        <v>0.10294993306641052</v>
      </c>
      <c r="D98" s="82">
        <f>IF($B98=V$21,'OBC Cost _Van Oord 2022'!$E$30,0)</f>
        <v>0</v>
      </c>
      <c r="E98" s="38">
        <f t="shared" si="76"/>
        <v>600</v>
      </c>
      <c r="F98" s="38"/>
      <c r="G98" s="38"/>
      <c r="H98" s="38"/>
      <c r="I98" s="38"/>
      <c r="J98" s="38"/>
      <c r="K98" s="38"/>
      <c r="L98" s="38"/>
      <c r="M98" s="38"/>
      <c r="N98" s="38"/>
      <c r="O98" s="38"/>
      <c r="P98" s="38"/>
      <c r="Q98" s="38"/>
      <c r="R98" s="38"/>
      <c r="S98" s="38"/>
      <c r="T98" s="38"/>
      <c r="U98" s="38"/>
      <c r="V98" s="38"/>
      <c r="W98" s="45">
        <f t="shared" si="97"/>
        <v>180</v>
      </c>
      <c r="X98" s="45"/>
      <c r="Y98" s="46">
        <f t="shared" si="73"/>
        <v>780</v>
      </c>
      <c r="Z98" s="41">
        <f t="shared" si="77"/>
        <v>0</v>
      </c>
      <c r="AA98" s="41">
        <f t="shared" si="78"/>
        <v>61.769959839846315</v>
      </c>
      <c r="AB98" s="41">
        <f t="shared" si="79"/>
        <v>0</v>
      </c>
      <c r="AC98" s="41">
        <f t="shared" si="80"/>
        <v>0</v>
      </c>
      <c r="AD98" s="41">
        <f t="shared" si="81"/>
        <v>0</v>
      </c>
      <c r="AE98" s="41">
        <f t="shared" si="82"/>
        <v>0</v>
      </c>
      <c r="AF98" s="41">
        <f t="shared" si="83"/>
        <v>0</v>
      </c>
      <c r="AG98" s="41">
        <f t="shared" si="84"/>
        <v>0</v>
      </c>
      <c r="AH98" s="41">
        <f t="shared" si="85"/>
        <v>0</v>
      </c>
      <c r="AI98" s="41">
        <f t="shared" si="86"/>
        <v>0</v>
      </c>
      <c r="AJ98" s="41">
        <f t="shared" si="87"/>
        <v>0</v>
      </c>
      <c r="AK98" s="41">
        <f t="shared" si="88"/>
        <v>0</v>
      </c>
      <c r="AL98" s="41">
        <f t="shared" si="89"/>
        <v>0</v>
      </c>
      <c r="AM98" s="41">
        <f t="shared" si="90"/>
        <v>0</v>
      </c>
      <c r="AN98" s="41">
        <f t="shared" si="91"/>
        <v>0</v>
      </c>
      <c r="AO98" s="41">
        <f t="shared" si="92"/>
        <v>0</v>
      </c>
      <c r="AP98" s="41">
        <f t="shared" si="93"/>
        <v>0</v>
      </c>
      <c r="AQ98" s="41">
        <f t="shared" si="94"/>
        <v>0</v>
      </c>
      <c r="AR98" s="41">
        <f t="shared" si="95"/>
        <v>0</v>
      </c>
      <c r="AS98" s="41">
        <f t="shared" si="96"/>
        <v>18.530987951953893</v>
      </c>
      <c r="AT98" s="92">
        <f t="shared" si="74"/>
        <v>80.300947791800212</v>
      </c>
    </row>
    <row r="99" spans="2:46" s="3" customFormat="1" ht="12.75" x14ac:dyDescent="0.2">
      <c r="B99" s="12">
        <f t="shared" si="75"/>
        <v>73</v>
      </c>
      <c r="C99" s="13">
        <f t="shared" si="72"/>
        <v>9.9951391326612155E-2</v>
      </c>
      <c r="D99" s="82">
        <f>IF($B99=V$21,'OBC Cost _Van Oord 2022'!$E$30,0)</f>
        <v>0</v>
      </c>
      <c r="E99" s="38">
        <f t="shared" si="76"/>
        <v>202130</v>
      </c>
      <c r="F99" s="38"/>
      <c r="G99" s="38"/>
      <c r="H99" s="38"/>
      <c r="I99" s="38"/>
      <c r="J99" s="38"/>
      <c r="K99" s="38"/>
      <c r="L99" s="38"/>
      <c r="M99" s="38"/>
      <c r="N99" s="38"/>
      <c r="O99" s="38"/>
      <c r="P99" s="38"/>
      <c r="Q99" s="38"/>
      <c r="R99" s="38"/>
      <c r="S99" s="38"/>
      <c r="T99" s="38"/>
      <c r="U99" s="38"/>
      <c r="V99" s="38"/>
      <c r="W99" s="45">
        <f t="shared" si="97"/>
        <v>60639</v>
      </c>
      <c r="X99" s="45"/>
      <c r="Y99" s="46">
        <f t="shared" si="73"/>
        <v>262769</v>
      </c>
      <c r="Z99" s="41">
        <f t="shared" si="77"/>
        <v>0</v>
      </c>
      <c r="AA99" s="41">
        <f t="shared" si="78"/>
        <v>20203.174728848117</v>
      </c>
      <c r="AB99" s="41">
        <f t="shared" si="79"/>
        <v>0</v>
      </c>
      <c r="AC99" s="41">
        <f t="shared" si="80"/>
        <v>0</v>
      </c>
      <c r="AD99" s="41">
        <f t="shared" si="81"/>
        <v>0</v>
      </c>
      <c r="AE99" s="41">
        <f t="shared" si="82"/>
        <v>0</v>
      </c>
      <c r="AF99" s="41">
        <f t="shared" si="83"/>
        <v>0</v>
      </c>
      <c r="AG99" s="41">
        <f t="shared" si="84"/>
        <v>0</v>
      </c>
      <c r="AH99" s="41">
        <f t="shared" si="85"/>
        <v>0</v>
      </c>
      <c r="AI99" s="41">
        <f t="shared" si="86"/>
        <v>0</v>
      </c>
      <c r="AJ99" s="41">
        <f t="shared" si="87"/>
        <v>0</v>
      </c>
      <c r="AK99" s="41">
        <f t="shared" si="88"/>
        <v>0</v>
      </c>
      <c r="AL99" s="41">
        <f t="shared" si="89"/>
        <v>0</v>
      </c>
      <c r="AM99" s="41">
        <f t="shared" si="90"/>
        <v>0</v>
      </c>
      <c r="AN99" s="41">
        <f t="shared" si="91"/>
        <v>0</v>
      </c>
      <c r="AO99" s="41">
        <f t="shared" si="92"/>
        <v>0</v>
      </c>
      <c r="AP99" s="41">
        <f t="shared" si="93"/>
        <v>0</v>
      </c>
      <c r="AQ99" s="41">
        <f t="shared" si="94"/>
        <v>0</v>
      </c>
      <c r="AR99" s="41">
        <f t="shared" si="95"/>
        <v>0</v>
      </c>
      <c r="AS99" s="41">
        <f t="shared" si="96"/>
        <v>6060.952418654434</v>
      </c>
      <c r="AT99" s="92">
        <f t="shared" si="74"/>
        <v>26264.12714750255</v>
      </c>
    </row>
    <row r="100" spans="2:46" s="3" customFormat="1" ht="12.75" x14ac:dyDescent="0.2">
      <c r="B100" s="12">
        <f t="shared" si="75"/>
        <v>74</v>
      </c>
      <c r="C100" s="13">
        <f t="shared" si="72"/>
        <v>9.7040185753992383E-2</v>
      </c>
      <c r="D100" s="82">
        <f>IF($B100=V$21,'OBC Cost _Van Oord 2022'!$E$30,0)</f>
        <v>0</v>
      </c>
      <c r="E100" s="38">
        <f t="shared" si="76"/>
        <v>600</v>
      </c>
      <c r="F100" s="38"/>
      <c r="G100" s="38"/>
      <c r="H100" s="38"/>
      <c r="I100" s="38"/>
      <c r="J100" s="38"/>
      <c r="K100" s="38"/>
      <c r="L100" s="38"/>
      <c r="M100" s="38"/>
      <c r="N100" s="38"/>
      <c r="O100" s="38"/>
      <c r="P100" s="38"/>
      <c r="Q100" s="38"/>
      <c r="R100" s="38"/>
      <c r="S100" s="38"/>
      <c r="T100" s="38"/>
      <c r="U100" s="38"/>
      <c r="V100" s="38"/>
      <c r="W100" s="45">
        <f t="shared" si="97"/>
        <v>180</v>
      </c>
      <c r="X100" s="45"/>
      <c r="Y100" s="46">
        <f t="shared" si="73"/>
        <v>780</v>
      </c>
      <c r="Z100" s="41">
        <f t="shared" si="77"/>
        <v>0</v>
      </c>
      <c r="AA100" s="41">
        <f t="shared" si="78"/>
        <v>58.224111452395427</v>
      </c>
      <c r="AB100" s="41">
        <f t="shared" si="79"/>
        <v>0</v>
      </c>
      <c r="AC100" s="41">
        <f t="shared" si="80"/>
        <v>0</v>
      </c>
      <c r="AD100" s="41">
        <f t="shared" si="81"/>
        <v>0</v>
      </c>
      <c r="AE100" s="41">
        <f t="shared" si="82"/>
        <v>0</v>
      </c>
      <c r="AF100" s="41">
        <f t="shared" si="83"/>
        <v>0</v>
      </c>
      <c r="AG100" s="41">
        <f t="shared" si="84"/>
        <v>0</v>
      </c>
      <c r="AH100" s="41">
        <f t="shared" si="85"/>
        <v>0</v>
      </c>
      <c r="AI100" s="41">
        <f t="shared" si="86"/>
        <v>0</v>
      </c>
      <c r="AJ100" s="41">
        <f t="shared" si="87"/>
        <v>0</v>
      </c>
      <c r="AK100" s="41">
        <f t="shared" si="88"/>
        <v>0</v>
      </c>
      <c r="AL100" s="41">
        <f t="shared" si="89"/>
        <v>0</v>
      </c>
      <c r="AM100" s="41">
        <f t="shared" si="90"/>
        <v>0</v>
      </c>
      <c r="AN100" s="41">
        <f t="shared" si="91"/>
        <v>0</v>
      </c>
      <c r="AO100" s="41">
        <f t="shared" si="92"/>
        <v>0</v>
      </c>
      <c r="AP100" s="41">
        <f t="shared" si="93"/>
        <v>0</v>
      </c>
      <c r="AQ100" s="41">
        <f t="shared" si="94"/>
        <v>0</v>
      </c>
      <c r="AR100" s="41">
        <f t="shared" si="95"/>
        <v>0</v>
      </c>
      <c r="AS100" s="41">
        <f t="shared" si="96"/>
        <v>17.467233435718629</v>
      </c>
      <c r="AT100" s="92">
        <f t="shared" si="74"/>
        <v>75.69134488811406</v>
      </c>
    </row>
    <row r="101" spans="2:46" s="3" customFormat="1" ht="12.75" x14ac:dyDescent="0.2">
      <c r="B101" s="12">
        <f t="shared" si="75"/>
        <v>75</v>
      </c>
      <c r="C101" s="13">
        <f t="shared" si="72"/>
        <v>9.4213772576691626E-2</v>
      </c>
      <c r="D101" s="82">
        <f>IF($B101=V$21,'OBC Cost _Van Oord 2022'!$E$30,0)</f>
        <v>0</v>
      </c>
      <c r="E101" s="38">
        <f t="shared" si="76"/>
        <v>600</v>
      </c>
      <c r="F101" s="38"/>
      <c r="G101" s="38"/>
      <c r="H101" s="38"/>
      <c r="I101" s="38"/>
      <c r="J101" s="38"/>
      <c r="K101" s="38"/>
      <c r="L101" s="38"/>
      <c r="M101" s="38"/>
      <c r="N101" s="38"/>
      <c r="O101" s="38"/>
      <c r="P101" s="38"/>
      <c r="Q101" s="38"/>
      <c r="R101" s="38"/>
      <c r="S101" s="38"/>
      <c r="T101" s="38"/>
      <c r="U101" s="38"/>
      <c r="V101" s="38"/>
      <c r="W101" s="45">
        <f t="shared" si="97"/>
        <v>180</v>
      </c>
      <c r="X101" s="45"/>
      <c r="Y101" s="46">
        <f t="shared" si="73"/>
        <v>780</v>
      </c>
      <c r="Z101" s="41">
        <f t="shared" si="77"/>
        <v>0</v>
      </c>
      <c r="AA101" s="41">
        <f t="shared" si="78"/>
        <v>56.528263546014976</v>
      </c>
      <c r="AB101" s="41">
        <f t="shared" si="79"/>
        <v>0</v>
      </c>
      <c r="AC101" s="41">
        <f t="shared" si="80"/>
        <v>0</v>
      </c>
      <c r="AD101" s="41">
        <f t="shared" si="81"/>
        <v>0</v>
      </c>
      <c r="AE101" s="41">
        <f t="shared" si="82"/>
        <v>0</v>
      </c>
      <c r="AF101" s="41">
        <f t="shared" si="83"/>
        <v>0</v>
      </c>
      <c r="AG101" s="41">
        <f t="shared" si="84"/>
        <v>0</v>
      </c>
      <c r="AH101" s="41">
        <f t="shared" si="85"/>
        <v>0</v>
      </c>
      <c r="AI101" s="41">
        <f t="shared" si="86"/>
        <v>0</v>
      </c>
      <c r="AJ101" s="41">
        <f t="shared" si="87"/>
        <v>0</v>
      </c>
      <c r="AK101" s="41">
        <f t="shared" si="88"/>
        <v>0</v>
      </c>
      <c r="AL101" s="41">
        <f t="shared" si="89"/>
        <v>0</v>
      </c>
      <c r="AM101" s="41">
        <f t="shared" si="90"/>
        <v>0</v>
      </c>
      <c r="AN101" s="41">
        <f t="shared" si="91"/>
        <v>0</v>
      </c>
      <c r="AO101" s="41">
        <f t="shared" si="92"/>
        <v>0</v>
      </c>
      <c r="AP101" s="41">
        <f t="shared" si="93"/>
        <v>0</v>
      </c>
      <c r="AQ101" s="41">
        <f t="shared" si="94"/>
        <v>0</v>
      </c>
      <c r="AR101" s="41">
        <f t="shared" si="95"/>
        <v>0</v>
      </c>
      <c r="AS101" s="41">
        <f t="shared" si="96"/>
        <v>16.958479063804493</v>
      </c>
      <c r="AT101" s="92">
        <f t="shared" si="74"/>
        <v>73.486742609819473</v>
      </c>
    </row>
    <row r="102" spans="2:46" s="3" customFormat="1" ht="12.75" x14ac:dyDescent="0.2">
      <c r="B102" s="12">
        <f t="shared" si="75"/>
        <v>76</v>
      </c>
      <c r="C102" s="13">
        <f t="shared" ref="C102:C125" si="98">C101/(1+$E$8-1%)</f>
        <v>9.1915875684577208E-2</v>
      </c>
      <c r="D102" s="82">
        <f>IF($B102=V$21,'OBC Cost _Van Oord 2022'!$E$30,0)</f>
        <v>0</v>
      </c>
      <c r="E102" s="38">
        <f t="shared" si="76"/>
        <v>600</v>
      </c>
      <c r="F102" s="38"/>
      <c r="G102" s="38"/>
      <c r="H102" s="38"/>
      <c r="I102" s="38"/>
      <c r="J102" s="38"/>
      <c r="K102" s="38"/>
      <c r="L102" s="38"/>
      <c r="M102" s="38"/>
      <c r="N102" s="38"/>
      <c r="O102" s="38"/>
      <c r="P102" s="38"/>
      <c r="Q102" s="38"/>
      <c r="R102" s="38"/>
      <c r="S102" s="38"/>
      <c r="T102" s="38"/>
      <c r="U102" s="38"/>
      <c r="V102" s="38"/>
      <c r="W102" s="45">
        <f t="shared" si="97"/>
        <v>180</v>
      </c>
      <c r="X102" s="45"/>
      <c r="Y102" s="46">
        <f t="shared" si="73"/>
        <v>780</v>
      </c>
      <c r="Z102" s="41">
        <f t="shared" si="77"/>
        <v>0</v>
      </c>
      <c r="AA102" s="41">
        <f t="shared" si="78"/>
        <v>55.149525410746328</v>
      </c>
      <c r="AB102" s="41">
        <f t="shared" si="79"/>
        <v>0</v>
      </c>
      <c r="AC102" s="41">
        <f t="shared" si="80"/>
        <v>0</v>
      </c>
      <c r="AD102" s="41">
        <f t="shared" si="81"/>
        <v>0</v>
      </c>
      <c r="AE102" s="41">
        <f t="shared" si="82"/>
        <v>0</v>
      </c>
      <c r="AF102" s="41">
        <f t="shared" si="83"/>
        <v>0</v>
      </c>
      <c r="AG102" s="41">
        <f t="shared" si="84"/>
        <v>0</v>
      </c>
      <c r="AH102" s="41">
        <f t="shared" si="85"/>
        <v>0</v>
      </c>
      <c r="AI102" s="41">
        <f t="shared" si="86"/>
        <v>0</v>
      </c>
      <c r="AJ102" s="41">
        <f t="shared" si="87"/>
        <v>0</v>
      </c>
      <c r="AK102" s="41">
        <f t="shared" si="88"/>
        <v>0</v>
      </c>
      <c r="AL102" s="41">
        <f t="shared" si="89"/>
        <v>0</v>
      </c>
      <c r="AM102" s="41">
        <f t="shared" si="90"/>
        <v>0</v>
      </c>
      <c r="AN102" s="41">
        <f t="shared" si="91"/>
        <v>0</v>
      </c>
      <c r="AO102" s="41">
        <f t="shared" si="92"/>
        <v>0</v>
      </c>
      <c r="AP102" s="41">
        <f t="shared" si="93"/>
        <v>0</v>
      </c>
      <c r="AQ102" s="41">
        <f t="shared" si="94"/>
        <v>0</v>
      </c>
      <c r="AR102" s="41">
        <f t="shared" si="95"/>
        <v>0</v>
      </c>
      <c r="AS102" s="41">
        <f t="shared" si="96"/>
        <v>16.544857623223898</v>
      </c>
      <c r="AT102" s="92">
        <f t="shared" si="74"/>
        <v>71.694383033970226</v>
      </c>
    </row>
    <row r="103" spans="2:46" s="3" customFormat="1" ht="12.75" x14ac:dyDescent="0.2">
      <c r="B103" s="12">
        <f t="shared" si="75"/>
        <v>77</v>
      </c>
      <c r="C103" s="13">
        <f t="shared" si="98"/>
        <v>8.9674025058124107E-2</v>
      </c>
      <c r="D103" s="82">
        <f>IF($B103=V$21,'OBC Cost _Van Oord 2022'!$E$30,0)</f>
        <v>0</v>
      </c>
      <c r="E103" s="38">
        <f t="shared" si="76"/>
        <v>600</v>
      </c>
      <c r="F103" s="38"/>
      <c r="G103" s="38"/>
      <c r="H103" s="38"/>
      <c r="I103" s="38"/>
      <c r="J103" s="38"/>
      <c r="K103" s="38"/>
      <c r="L103" s="38"/>
      <c r="M103" s="38"/>
      <c r="N103" s="38"/>
      <c r="O103" s="38"/>
      <c r="P103" s="38"/>
      <c r="Q103" s="38"/>
      <c r="R103" s="38"/>
      <c r="S103" s="38"/>
      <c r="T103" s="38"/>
      <c r="U103" s="38"/>
      <c r="V103" s="38"/>
      <c r="W103" s="45">
        <f t="shared" si="97"/>
        <v>180</v>
      </c>
      <c r="X103" s="45"/>
      <c r="Y103" s="46">
        <f t="shared" si="73"/>
        <v>780</v>
      </c>
      <c r="Z103" s="41">
        <f t="shared" si="77"/>
        <v>0</v>
      </c>
      <c r="AA103" s="41">
        <f t="shared" si="78"/>
        <v>53.804415034874467</v>
      </c>
      <c r="AB103" s="41">
        <f t="shared" si="79"/>
        <v>0</v>
      </c>
      <c r="AC103" s="41">
        <f t="shared" si="80"/>
        <v>0</v>
      </c>
      <c r="AD103" s="41">
        <f t="shared" si="81"/>
        <v>0</v>
      </c>
      <c r="AE103" s="41">
        <f t="shared" si="82"/>
        <v>0</v>
      </c>
      <c r="AF103" s="41">
        <f t="shared" si="83"/>
        <v>0</v>
      </c>
      <c r="AG103" s="41">
        <f t="shared" si="84"/>
        <v>0</v>
      </c>
      <c r="AH103" s="41">
        <f t="shared" si="85"/>
        <v>0</v>
      </c>
      <c r="AI103" s="41">
        <f t="shared" si="86"/>
        <v>0</v>
      </c>
      <c r="AJ103" s="41">
        <f t="shared" si="87"/>
        <v>0</v>
      </c>
      <c r="AK103" s="41">
        <f t="shared" si="88"/>
        <v>0</v>
      </c>
      <c r="AL103" s="41">
        <f t="shared" si="89"/>
        <v>0</v>
      </c>
      <c r="AM103" s="41">
        <f t="shared" si="90"/>
        <v>0</v>
      </c>
      <c r="AN103" s="41">
        <f t="shared" si="91"/>
        <v>0</v>
      </c>
      <c r="AO103" s="41">
        <f t="shared" si="92"/>
        <v>0</v>
      </c>
      <c r="AP103" s="41">
        <f t="shared" si="93"/>
        <v>0</v>
      </c>
      <c r="AQ103" s="41">
        <f t="shared" si="94"/>
        <v>0</v>
      </c>
      <c r="AR103" s="41">
        <f t="shared" si="95"/>
        <v>0</v>
      </c>
      <c r="AS103" s="41">
        <f t="shared" si="96"/>
        <v>16.14132451046234</v>
      </c>
      <c r="AT103" s="92">
        <f t="shared" si="74"/>
        <v>69.945739545336806</v>
      </c>
    </row>
    <row r="104" spans="2:46" s="3" customFormat="1" ht="12.75" x14ac:dyDescent="0.2">
      <c r="B104" s="12">
        <f t="shared" si="75"/>
        <v>78</v>
      </c>
      <c r="C104" s="13">
        <f t="shared" si="98"/>
        <v>8.7486853715243035E-2</v>
      </c>
      <c r="D104" s="82">
        <f>IF($B104=V$21,'OBC Cost _Van Oord 2022'!$E$30,0)</f>
        <v>0</v>
      </c>
      <c r="E104" s="38">
        <f t="shared" si="76"/>
        <v>87000</v>
      </c>
      <c r="F104" s="38"/>
      <c r="G104" s="38"/>
      <c r="H104" s="38"/>
      <c r="I104" s="38"/>
      <c r="J104" s="38"/>
      <c r="K104" s="38"/>
      <c r="L104" s="38"/>
      <c r="M104" s="38"/>
      <c r="N104" s="38"/>
      <c r="O104" s="38"/>
      <c r="P104" s="38"/>
      <c r="Q104" s="38"/>
      <c r="R104" s="38"/>
      <c r="S104" s="38"/>
      <c r="T104" s="38"/>
      <c r="U104" s="38"/>
      <c r="V104" s="38"/>
      <c r="W104" s="45">
        <f t="shared" si="97"/>
        <v>26100</v>
      </c>
      <c r="X104" s="45"/>
      <c r="Y104" s="46">
        <f t="shared" si="73"/>
        <v>113100</v>
      </c>
      <c r="Z104" s="41">
        <f t="shared" si="77"/>
        <v>0</v>
      </c>
      <c r="AA104" s="41">
        <f t="shared" si="78"/>
        <v>7611.3562732261444</v>
      </c>
      <c r="AB104" s="41">
        <f t="shared" si="79"/>
        <v>0</v>
      </c>
      <c r="AC104" s="41">
        <f t="shared" si="80"/>
        <v>0</v>
      </c>
      <c r="AD104" s="41">
        <f t="shared" si="81"/>
        <v>0</v>
      </c>
      <c r="AE104" s="41">
        <f t="shared" si="82"/>
        <v>0</v>
      </c>
      <c r="AF104" s="41">
        <f t="shared" si="83"/>
        <v>0</v>
      </c>
      <c r="AG104" s="41">
        <f t="shared" si="84"/>
        <v>0</v>
      </c>
      <c r="AH104" s="41">
        <f t="shared" si="85"/>
        <v>0</v>
      </c>
      <c r="AI104" s="41">
        <f t="shared" si="86"/>
        <v>0</v>
      </c>
      <c r="AJ104" s="41">
        <f t="shared" si="87"/>
        <v>0</v>
      </c>
      <c r="AK104" s="41">
        <f t="shared" si="88"/>
        <v>0</v>
      </c>
      <c r="AL104" s="41">
        <f t="shared" si="89"/>
        <v>0</v>
      </c>
      <c r="AM104" s="41">
        <f t="shared" si="90"/>
        <v>0</v>
      </c>
      <c r="AN104" s="41">
        <f t="shared" si="91"/>
        <v>0</v>
      </c>
      <c r="AO104" s="41">
        <f t="shared" si="92"/>
        <v>0</v>
      </c>
      <c r="AP104" s="41">
        <f t="shared" si="93"/>
        <v>0</v>
      </c>
      <c r="AQ104" s="41">
        <f t="shared" si="94"/>
        <v>0</v>
      </c>
      <c r="AR104" s="41">
        <f t="shared" si="95"/>
        <v>0</v>
      </c>
      <c r="AS104" s="41">
        <f t="shared" si="96"/>
        <v>2283.4068819678432</v>
      </c>
      <c r="AT104" s="92">
        <f t="shared" si="74"/>
        <v>9894.7631551939885</v>
      </c>
    </row>
    <row r="105" spans="2:46" s="3" customFormat="1" ht="12.75" x14ac:dyDescent="0.2">
      <c r="B105" s="12">
        <f t="shared" si="75"/>
        <v>79</v>
      </c>
      <c r="C105" s="13">
        <f t="shared" si="98"/>
        <v>8.5353028014871254E-2</v>
      </c>
      <c r="D105" s="82">
        <f>IF($B105=V$21,'OBC Cost _Van Oord 2022'!$E$30,0)</f>
        <v>0</v>
      </c>
      <c r="E105" s="38">
        <f t="shared" si="76"/>
        <v>600</v>
      </c>
      <c r="F105" s="38"/>
      <c r="G105" s="38"/>
      <c r="H105" s="38"/>
      <c r="I105" s="38"/>
      <c r="J105" s="38"/>
      <c r="K105" s="38"/>
      <c r="L105" s="38"/>
      <c r="M105" s="38"/>
      <c r="N105" s="38"/>
      <c r="O105" s="38"/>
      <c r="P105" s="38"/>
      <c r="Q105" s="38"/>
      <c r="R105" s="38"/>
      <c r="S105" s="38"/>
      <c r="T105" s="38"/>
      <c r="U105" s="38"/>
      <c r="V105" s="38"/>
      <c r="W105" s="45">
        <f t="shared" si="97"/>
        <v>180</v>
      </c>
      <c r="X105" s="45"/>
      <c r="Y105" s="46">
        <f t="shared" si="73"/>
        <v>780</v>
      </c>
      <c r="Z105" s="41">
        <f t="shared" si="77"/>
        <v>0</v>
      </c>
      <c r="AA105" s="41">
        <f t="shared" si="78"/>
        <v>51.211816808922755</v>
      </c>
      <c r="AB105" s="41">
        <f t="shared" si="79"/>
        <v>0</v>
      </c>
      <c r="AC105" s="41">
        <f t="shared" si="80"/>
        <v>0</v>
      </c>
      <c r="AD105" s="41">
        <f t="shared" si="81"/>
        <v>0</v>
      </c>
      <c r="AE105" s="41">
        <f t="shared" si="82"/>
        <v>0</v>
      </c>
      <c r="AF105" s="41">
        <f t="shared" si="83"/>
        <v>0</v>
      </c>
      <c r="AG105" s="41">
        <f t="shared" si="84"/>
        <v>0</v>
      </c>
      <c r="AH105" s="41">
        <f t="shared" si="85"/>
        <v>0</v>
      </c>
      <c r="AI105" s="41">
        <f t="shared" si="86"/>
        <v>0</v>
      </c>
      <c r="AJ105" s="41">
        <f t="shared" si="87"/>
        <v>0</v>
      </c>
      <c r="AK105" s="41">
        <f t="shared" si="88"/>
        <v>0</v>
      </c>
      <c r="AL105" s="41">
        <f t="shared" si="89"/>
        <v>0</v>
      </c>
      <c r="AM105" s="41">
        <f t="shared" si="90"/>
        <v>0</v>
      </c>
      <c r="AN105" s="41">
        <f t="shared" si="91"/>
        <v>0</v>
      </c>
      <c r="AO105" s="41">
        <f t="shared" si="92"/>
        <v>0</v>
      </c>
      <c r="AP105" s="41">
        <f t="shared" si="93"/>
        <v>0</v>
      </c>
      <c r="AQ105" s="41">
        <f t="shared" si="94"/>
        <v>0</v>
      </c>
      <c r="AR105" s="41">
        <f t="shared" si="95"/>
        <v>0</v>
      </c>
      <c r="AS105" s="41">
        <f t="shared" si="96"/>
        <v>15.363545042676826</v>
      </c>
      <c r="AT105" s="92">
        <f t="shared" si="74"/>
        <v>66.575361851599581</v>
      </c>
    </row>
    <row r="106" spans="2:46" s="3" customFormat="1" ht="12.75" x14ac:dyDescent="0.2">
      <c r="B106" s="12">
        <f t="shared" si="75"/>
        <v>80</v>
      </c>
      <c r="C106" s="13">
        <f t="shared" si="98"/>
        <v>8.3271246843776847E-2</v>
      </c>
      <c r="D106" s="82">
        <f>IF($B106=V$21,'OBC Cost _Van Oord 2022'!$E$30,0)</f>
        <v>0</v>
      </c>
      <c r="E106" s="38">
        <f t="shared" si="76"/>
        <v>600</v>
      </c>
      <c r="F106" s="38"/>
      <c r="G106" s="38"/>
      <c r="H106" s="38"/>
      <c r="I106" s="38"/>
      <c r="J106" s="38"/>
      <c r="K106" s="38"/>
      <c r="L106" s="38"/>
      <c r="M106" s="38"/>
      <c r="N106" s="38"/>
      <c r="O106" s="38"/>
      <c r="P106" s="38"/>
      <c r="Q106" s="38"/>
      <c r="R106" s="38"/>
      <c r="S106" s="38"/>
      <c r="T106" s="38"/>
      <c r="U106" s="38"/>
      <c r="V106" s="38"/>
      <c r="W106" s="45">
        <f t="shared" si="97"/>
        <v>180</v>
      </c>
      <c r="X106" s="45"/>
      <c r="Y106" s="46">
        <f t="shared" si="73"/>
        <v>780</v>
      </c>
      <c r="Z106" s="41">
        <f t="shared" si="77"/>
        <v>0</v>
      </c>
      <c r="AA106" s="41">
        <f t="shared" si="78"/>
        <v>49.962748106266105</v>
      </c>
      <c r="AB106" s="41">
        <f t="shared" si="79"/>
        <v>0</v>
      </c>
      <c r="AC106" s="41">
        <f t="shared" si="80"/>
        <v>0</v>
      </c>
      <c r="AD106" s="41">
        <f t="shared" si="81"/>
        <v>0</v>
      </c>
      <c r="AE106" s="41">
        <f t="shared" si="82"/>
        <v>0</v>
      </c>
      <c r="AF106" s="41">
        <f t="shared" si="83"/>
        <v>0</v>
      </c>
      <c r="AG106" s="41">
        <f t="shared" si="84"/>
        <v>0</v>
      </c>
      <c r="AH106" s="41">
        <f t="shared" si="85"/>
        <v>0</v>
      </c>
      <c r="AI106" s="41">
        <f t="shared" si="86"/>
        <v>0</v>
      </c>
      <c r="AJ106" s="41">
        <f t="shared" si="87"/>
        <v>0</v>
      </c>
      <c r="AK106" s="41">
        <f t="shared" si="88"/>
        <v>0</v>
      </c>
      <c r="AL106" s="41">
        <f t="shared" si="89"/>
        <v>0</v>
      </c>
      <c r="AM106" s="41">
        <f t="shared" si="90"/>
        <v>0</v>
      </c>
      <c r="AN106" s="41">
        <f t="shared" si="91"/>
        <v>0</v>
      </c>
      <c r="AO106" s="41">
        <f t="shared" si="92"/>
        <v>0</v>
      </c>
      <c r="AP106" s="41">
        <f t="shared" si="93"/>
        <v>0</v>
      </c>
      <c r="AQ106" s="41">
        <f t="shared" si="94"/>
        <v>0</v>
      </c>
      <c r="AR106" s="41">
        <f t="shared" si="95"/>
        <v>0</v>
      </c>
      <c r="AS106" s="41">
        <f t="shared" si="96"/>
        <v>14.988824431879832</v>
      </c>
      <c r="AT106" s="92">
        <f t="shared" si="74"/>
        <v>64.951572538145939</v>
      </c>
    </row>
    <row r="107" spans="2:46" s="3" customFormat="1" ht="12.75" x14ac:dyDescent="0.2">
      <c r="B107" s="12">
        <f t="shared" si="75"/>
        <v>81</v>
      </c>
      <c r="C107" s="13">
        <f t="shared" si="98"/>
        <v>8.1240240823196933E-2</v>
      </c>
      <c r="D107" s="82">
        <f>IF($B107=V$21,'OBC Cost _Van Oord 2022'!$E$30,0)</f>
        <v>0</v>
      </c>
      <c r="E107" s="38">
        <f t="shared" si="76"/>
        <v>600</v>
      </c>
      <c r="F107" s="38"/>
      <c r="G107" s="38"/>
      <c r="H107" s="38"/>
      <c r="I107" s="38"/>
      <c r="J107" s="38"/>
      <c r="K107" s="38"/>
      <c r="L107" s="38"/>
      <c r="M107" s="38"/>
      <c r="N107" s="38"/>
      <c r="O107" s="38"/>
      <c r="P107" s="38"/>
      <c r="Q107" s="38"/>
      <c r="R107" s="38"/>
      <c r="S107" s="38"/>
      <c r="T107" s="38"/>
      <c r="U107" s="38"/>
      <c r="V107" s="38"/>
      <c r="W107" s="45">
        <f t="shared" si="97"/>
        <v>180</v>
      </c>
      <c r="X107" s="45"/>
      <c r="Y107" s="46">
        <f t="shared" si="73"/>
        <v>780</v>
      </c>
      <c r="Z107" s="41">
        <f t="shared" si="77"/>
        <v>0</v>
      </c>
      <c r="AA107" s="41">
        <f t="shared" si="78"/>
        <v>48.744144493918157</v>
      </c>
      <c r="AB107" s="41">
        <f t="shared" si="79"/>
        <v>0</v>
      </c>
      <c r="AC107" s="41">
        <f t="shared" si="80"/>
        <v>0</v>
      </c>
      <c r="AD107" s="41">
        <f t="shared" si="81"/>
        <v>0</v>
      </c>
      <c r="AE107" s="41">
        <f t="shared" si="82"/>
        <v>0</v>
      </c>
      <c r="AF107" s="41">
        <f t="shared" si="83"/>
        <v>0</v>
      </c>
      <c r="AG107" s="41">
        <f t="shared" si="84"/>
        <v>0</v>
      </c>
      <c r="AH107" s="41">
        <f t="shared" si="85"/>
        <v>0</v>
      </c>
      <c r="AI107" s="41">
        <f t="shared" si="86"/>
        <v>0</v>
      </c>
      <c r="AJ107" s="41">
        <f t="shared" si="87"/>
        <v>0</v>
      </c>
      <c r="AK107" s="41">
        <f t="shared" si="88"/>
        <v>0</v>
      </c>
      <c r="AL107" s="41">
        <f t="shared" si="89"/>
        <v>0</v>
      </c>
      <c r="AM107" s="41">
        <f t="shared" si="90"/>
        <v>0</v>
      </c>
      <c r="AN107" s="41">
        <f t="shared" si="91"/>
        <v>0</v>
      </c>
      <c r="AO107" s="41">
        <f t="shared" si="92"/>
        <v>0</v>
      </c>
      <c r="AP107" s="41">
        <f t="shared" si="93"/>
        <v>0</v>
      </c>
      <c r="AQ107" s="41">
        <f t="shared" si="94"/>
        <v>0</v>
      </c>
      <c r="AR107" s="41">
        <f t="shared" si="95"/>
        <v>0</v>
      </c>
      <c r="AS107" s="41">
        <f t="shared" si="96"/>
        <v>14.623243348175448</v>
      </c>
      <c r="AT107" s="92">
        <f t="shared" si="74"/>
        <v>63.367387842093606</v>
      </c>
    </row>
    <row r="108" spans="2:46" s="3" customFormat="1" ht="12.75" x14ac:dyDescent="0.2">
      <c r="B108" s="12">
        <f t="shared" si="75"/>
        <v>82</v>
      </c>
      <c r="C108" s="13">
        <f t="shared" si="98"/>
        <v>7.9258771534826286E-2</v>
      </c>
      <c r="D108" s="82">
        <f>IF($B108=V$21,'OBC Cost _Van Oord 2022'!$E$30,0)</f>
        <v>0</v>
      </c>
      <c r="E108" s="38">
        <f t="shared" si="76"/>
        <v>600</v>
      </c>
      <c r="F108" s="38"/>
      <c r="G108" s="38"/>
      <c r="H108" s="38"/>
      <c r="I108" s="38"/>
      <c r="J108" s="38"/>
      <c r="K108" s="38"/>
      <c r="L108" s="38"/>
      <c r="M108" s="38"/>
      <c r="N108" s="38"/>
      <c r="O108" s="38"/>
      <c r="P108" s="38"/>
      <c r="Q108" s="38"/>
      <c r="R108" s="38"/>
      <c r="S108" s="38"/>
      <c r="T108" s="38"/>
      <c r="U108" s="38"/>
      <c r="V108" s="38"/>
      <c r="W108" s="45">
        <f t="shared" si="97"/>
        <v>180</v>
      </c>
      <c r="X108" s="45"/>
      <c r="Y108" s="46">
        <f t="shared" si="73"/>
        <v>780</v>
      </c>
      <c r="Z108" s="41">
        <f t="shared" si="77"/>
        <v>0</v>
      </c>
      <c r="AA108" s="41">
        <f t="shared" si="78"/>
        <v>47.555262920895771</v>
      </c>
      <c r="AB108" s="41">
        <f t="shared" si="79"/>
        <v>0</v>
      </c>
      <c r="AC108" s="41">
        <f t="shared" si="80"/>
        <v>0</v>
      </c>
      <c r="AD108" s="41">
        <f t="shared" si="81"/>
        <v>0</v>
      </c>
      <c r="AE108" s="41">
        <f t="shared" si="82"/>
        <v>0</v>
      </c>
      <c r="AF108" s="41">
        <f t="shared" si="83"/>
        <v>0</v>
      </c>
      <c r="AG108" s="41">
        <f t="shared" si="84"/>
        <v>0</v>
      </c>
      <c r="AH108" s="41">
        <f t="shared" si="85"/>
        <v>0</v>
      </c>
      <c r="AI108" s="41">
        <f t="shared" si="86"/>
        <v>0</v>
      </c>
      <c r="AJ108" s="41">
        <f t="shared" si="87"/>
        <v>0</v>
      </c>
      <c r="AK108" s="41">
        <f t="shared" si="88"/>
        <v>0</v>
      </c>
      <c r="AL108" s="41">
        <f t="shared" si="89"/>
        <v>0</v>
      </c>
      <c r="AM108" s="41">
        <f t="shared" si="90"/>
        <v>0</v>
      </c>
      <c r="AN108" s="41">
        <f t="shared" si="91"/>
        <v>0</v>
      </c>
      <c r="AO108" s="41">
        <f t="shared" si="92"/>
        <v>0</v>
      </c>
      <c r="AP108" s="41">
        <f t="shared" si="93"/>
        <v>0</v>
      </c>
      <c r="AQ108" s="41">
        <f t="shared" si="94"/>
        <v>0</v>
      </c>
      <c r="AR108" s="41">
        <f t="shared" si="95"/>
        <v>0</v>
      </c>
      <c r="AS108" s="41">
        <f t="shared" si="96"/>
        <v>14.266578876268731</v>
      </c>
      <c r="AT108" s="92">
        <f t="shared" si="74"/>
        <v>61.821841797164502</v>
      </c>
    </row>
    <row r="109" spans="2:46" s="3" customFormat="1" ht="12.75" x14ac:dyDescent="0.2">
      <c r="B109" s="12">
        <f t="shared" si="75"/>
        <v>83</v>
      </c>
      <c r="C109" s="13">
        <f t="shared" si="98"/>
        <v>7.7325630765684189E-2</v>
      </c>
      <c r="D109" s="82">
        <f>IF($B109=V$21,'OBC Cost _Van Oord 2022'!$E$30,0)</f>
        <v>0</v>
      </c>
      <c r="E109" s="38">
        <f t="shared" si="76"/>
        <v>202130</v>
      </c>
      <c r="F109" s="38"/>
      <c r="G109" s="38"/>
      <c r="H109" s="38"/>
      <c r="I109" s="38"/>
      <c r="J109" s="38"/>
      <c r="K109" s="38"/>
      <c r="L109" s="38"/>
      <c r="M109" s="38"/>
      <c r="N109" s="38"/>
      <c r="O109" s="38"/>
      <c r="P109" s="38"/>
      <c r="Q109" s="38"/>
      <c r="R109" s="38"/>
      <c r="S109" s="38"/>
      <c r="T109" s="38"/>
      <c r="U109" s="38"/>
      <c r="V109" s="38"/>
      <c r="W109" s="45">
        <f t="shared" si="97"/>
        <v>60639</v>
      </c>
      <c r="X109" s="45"/>
      <c r="Y109" s="46">
        <f t="shared" si="73"/>
        <v>262769</v>
      </c>
      <c r="Z109" s="41">
        <f t="shared" si="77"/>
        <v>0</v>
      </c>
      <c r="AA109" s="41">
        <f t="shared" si="78"/>
        <v>15629.829746667745</v>
      </c>
      <c r="AB109" s="41">
        <f t="shared" si="79"/>
        <v>0</v>
      </c>
      <c r="AC109" s="41">
        <f t="shared" si="80"/>
        <v>0</v>
      </c>
      <c r="AD109" s="41">
        <f t="shared" si="81"/>
        <v>0</v>
      </c>
      <c r="AE109" s="41">
        <f t="shared" si="82"/>
        <v>0</v>
      </c>
      <c r="AF109" s="41">
        <f t="shared" si="83"/>
        <v>0</v>
      </c>
      <c r="AG109" s="41">
        <f t="shared" si="84"/>
        <v>0</v>
      </c>
      <c r="AH109" s="41">
        <f t="shared" si="85"/>
        <v>0</v>
      </c>
      <c r="AI109" s="41">
        <f t="shared" si="86"/>
        <v>0</v>
      </c>
      <c r="AJ109" s="41">
        <f t="shared" si="87"/>
        <v>0</v>
      </c>
      <c r="AK109" s="41">
        <f t="shared" si="88"/>
        <v>0</v>
      </c>
      <c r="AL109" s="41">
        <f t="shared" si="89"/>
        <v>0</v>
      </c>
      <c r="AM109" s="41">
        <f t="shared" si="90"/>
        <v>0</v>
      </c>
      <c r="AN109" s="41">
        <f t="shared" si="91"/>
        <v>0</v>
      </c>
      <c r="AO109" s="41">
        <f t="shared" si="92"/>
        <v>0</v>
      </c>
      <c r="AP109" s="41">
        <f t="shared" si="93"/>
        <v>0</v>
      </c>
      <c r="AQ109" s="41">
        <f t="shared" si="94"/>
        <v>0</v>
      </c>
      <c r="AR109" s="41">
        <f t="shared" si="95"/>
        <v>0</v>
      </c>
      <c r="AS109" s="41">
        <f t="shared" si="96"/>
        <v>4688.9489240003231</v>
      </c>
      <c r="AT109" s="92">
        <f t="shared" si="74"/>
        <v>20318.778670668067</v>
      </c>
    </row>
    <row r="110" spans="2:46" s="3" customFormat="1" ht="12.75" x14ac:dyDescent="0.2">
      <c r="B110" s="12">
        <f t="shared" si="75"/>
        <v>84</v>
      </c>
      <c r="C110" s="13">
        <f t="shared" si="98"/>
        <v>7.5439639771399211E-2</v>
      </c>
      <c r="D110" s="82">
        <f>IF($B110=V$21,'OBC Cost _Van Oord 2022'!$E$30,0)</f>
        <v>0</v>
      </c>
      <c r="E110" s="38">
        <f t="shared" si="76"/>
        <v>600</v>
      </c>
      <c r="F110" s="38"/>
      <c r="G110" s="38"/>
      <c r="H110" s="38"/>
      <c r="I110" s="38"/>
      <c r="J110" s="38"/>
      <c r="K110" s="38"/>
      <c r="L110" s="38"/>
      <c r="M110" s="38"/>
      <c r="N110" s="38"/>
      <c r="O110" s="38"/>
      <c r="P110" s="38"/>
      <c r="Q110" s="38"/>
      <c r="R110" s="38"/>
      <c r="S110" s="38"/>
      <c r="T110" s="38"/>
      <c r="U110" s="38"/>
      <c r="V110" s="38"/>
      <c r="W110" s="45">
        <f t="shared" si="97"/>
        <v>180</v>
      </c>
      <c r="X110" s="45"/>
      <c r="Y110" s="46">
        <f t="shared" si="73"/>
        <v>780</v>
      </c>
      <c r="Z110" s="41">
        <f t="shared" si="77"/>
        <v>0</v>
      </c>
      <c r="AA110" s="41">
        <f t="shared" si="78"/>
        <v>45.263783862839524</v>
      </c>
      <c r="AB110" s="41">
        <f t="shared" si="79"/>
        <v>0</v>
      </c>
      <c r="AC110" s="41">
        <f t="shared" si="80"/>
        <v>0</v>
      </c>
      <c r="AD110" s="41">
        <f t="shared" si="81"/>
        <v>0</v>
      </c>
      <c r="AE110" s="41">
        <f t="shared" si="82"/>
        <v>0</v>
      </c>
      <c r="AF110" s="41">
        <f t="shared" si="83"/>
        <v>0</v>
      </c>
      <c r="AG110" s="41">
        <f t="shared" si="84"/>
        <v>0</v>
      </c>
      <c r="AH110" s="41">
        <f t="shared" si="85"/>
        <v>0</v>
      </c>
      <c r="AI110" s="41">
        <f t="shared" si="86"/>
        <v>0</v>
      </c>
      <c r="AJ110" s="41">
        <f t="shared" si="87"/>
        <v>0</v>
      </c>
      <c r="AK110" s="41">
        <f t="shared" si="88"/>
        <v>0</v>
      </c>
      <c r="AL110" s="41">
        <f t="shared" si="89"/>
        <v>0</v>
      </c>
      <c r="AM110" s="41">
        <f t="shared" si="90"/>
        <v>0</v>
      </c>
      <c r="AN110" s="41">
        <f t="shared" si="91"/>
        <v>0</v>
      </c>
      <c r="AO110" s="41">
        <f t="shared" si="92"/>
        <v>0</v>
      </c>
      <c r="AP110" s="41">
        <f t="shared" si="93"/>
        <v>0</v>
      </c>
      <c r="AQ110" s="41">
        <f t="shared" si="94"/>
        <v>0</v>
      </c>
      <c r="AR110" s="41">
        <f t="shared" si="95"/>
        <v>0</v>
      </c>
      <c r="AS110" s="41">
        <f t="shared" si="96"/>
        <v>13.579135158851859</v>
      </c>
      <c r="AT110" s="92">
        <f t="shared" si="74"/>
        <v>58.842919021691387</v>
      </c>
    </row>
    <row r="111" spans="2:46" s="3" customFormat="1" ht="12.75" x14ac:dyDescent="0.2">
      <c r="B111" s="12">
        <f t="shared" si="75"/>
        <v>85</v>
      </c>
      <c r="C111" s="13">
        <f t="shared" si="98"/>
        <v>7.3599648557462649E-2</v>
      </c>
      <c r="D111" s="82">
        <f>IF($B111=V$21,'OBC Cost _Van Oord 2022'!$E$30,0)</f>
        <v>0</v>
      </c>
      <c r="E111" s="38">
        <f t="shared" si="76"/>
        <v>600</v>
      </c>
      <c r="F111" s="38"/>
      <c r="G111" s="38"/>
      <c r="H111" s="38"/>
      <c r="I111" s="38"/>
      <c r="J111" s="38"/>
      <c r="K111" s="38"/>
      <c r="L111" s="38"/>
      <c r="M111" s="38"/>
      <c r="N111" s="38"/>
      <c r="O111" s="38"/>
      <c r="P111" s="38"/>
      <c r="Q111" s="38"/>
      <c r="R111" s="38"/>
      <c r="S111" s="38"/>
      <c r="T111" s="38"/>
      <c r="U111" s="38"/>
      <c r="V111" s="38"/>
      <c r="W111" s="45">
        <f t="shared" si="97"/>
        <v>180</v>
      </c>
      <c r="X111" s="45"/>
      <c r="Y111" s="46">
        <f t="shared" si="73"/>
        <v>780</v>
      </c>
      <c r="Z111" s="41">
        <f t="shared" si="77"/>
        <v>0</v>
      </c>
      <c r="AA111" s="41">
        <f t="shared" si="78"/>
        <v>44.159789134477592</v>
      </c>
      <c r="AB111" s="41">
        <f t="shared" si="79"/>
        <v>0</v>
      </c>
      <c r="AC111" s="41">
        <f t="shared" si="80"/>
        <v>0</v>
      </c>
      <c r="AD111" s="41">
        <f t="shared" si="81"/>
        <v>0</v>
      </c>
      <c r="AE111" s="41">
        <f t="shared" si="82"/>
        <v>0</v>
      </c>
      <c r="AF111" s="41">
        <f t="shared" si="83"/>
        <v>0</v>
      </c>
      <c r="AG111" s="41">
        <f t="shared" si="84"/>
        <v>0</v>
      </c>
      <c r="AH111" s="41">
        <f t="shared" si="85"/>
        <v>0</v>
      </c>
      <c r="AI111" s="41">
        <f t="shared" si="86"/>
        <v>0</v>
      </c>
      <c r="AJ111" s="41">
        <f t="shared" si="87"/>
        <v>0</v>
      </c>
      <c r="AK111" s="41">
        <f t="shared" si="88"/>
        <v>0</v>
      </c>
      <c r="AL111" s="41">
        <f t="shared" si="89"/>
        <v>0</v>
      </c>
      <c r="AM111" s="41">
        <f t="shared" si="90"/>
        <v>0</v>
      </c>
      <c r="AN111" s="41">
        <f t="shared" si="91"/>
        <v>0</v>
      </c>
      <c r="AO111" s="41">
        <f t="shared" si="92"/>
        <v>0</v>
      </c>
      <c r="AP111" s="41">
        <f t="shared" si="93"/>
        <v>0</v>
      </c>
      <c r="AQ111" s="41">
        <f t="shared" si="94"/>
        <v>0</v>
      </c>
      <c r="AR111" s="41">
        <f t="shared" si="95"/>
        <v>0</v>
      </c>
      <c r="AS111" s="41">
        <f t="shared" si="96"/>
        <v>13.247936740343278</v>
      </c>
      <c r="AT111" s="92">
        <f t="shared" si="74"/>
        <v>57.407725874820869</v>
      </c>
    </row>
    <row r="112" spans="2:46" s="3" customFormat="1" ht="12.75" x14ac:dyDescent="0.2">
      <c r="B112" s="12">
        <f t="shared" si="75"/>
        <v>86</v>
      </c>
      <c r="C112" s="13">
        <f t="shared" si="98"/>
        <v>7.1804535178012344E-2</v>
      </c>
      <c r="D112" s="82">
        <f>IF($B112=V$21,'OBC Cost _Van Oord 2022'!$E$30,0)</f>
        <v>0</v>
      </c>
      <c r="E112" s="38">
        <f t="shared" si="76"/>
        <v>600</v>
      </c>
      <c r="F112" s="38"/>
      <c r="G112" s="38"/>
      <c r="H112" s="38"/>
      <c r="I112" s="38"/>
      <c r="J112" s="38"/>
      <c r="K112" s="38"/>
      <c r="L112" s="38"/>
      <c r="M112" s="38"/>
      <c r="N112" s="38"/>
      <c r="O112" s="38"/>
      <c r="P112" s="38"/>
      <c r="Q112" s="38"/>
      <c r="R112" s="38"/>
      <c r="S112" s="38"/>
      <c r="T112" s="38"/>
      <c r="U112" s="38"/>
      <c r="V112" s="38"/>
      <c r="W112" s="45">
        <f t="shared" si="97"/>
        <v>180</v>
      </c>
      <c r="X112" s="45"/>
      <c r="Y112" s="46">
        <f t="shared" si="73"/>
        <v>780</v>
      </c>
      <c r="Z112" s="41">
        <f t="shared" si="77"/>
        <v>0</v>
      </c>
      <c r="AA112" s="41">
        <f t="shared" si="78"/>
        <v>43.082721106807405</v>
      </c>
      <c r="AB112" s="41">
        <f t="shared" si="79"/>
        <v>0</v>
      </c>
      <c r="AC112" s="41">
        <f t="shared" si="80"/>
        <v>0</v>
      </c>
      <c r="AD112" s="41">
        <f t="shared" si="81"/>
        <v>0</v>
      </c>
      <c r="AE112" s="41">
        <f t="shared" si="82"/>
        <v>0</v>
      </c>
      <c r="AF112" s="41">
        <f t="shared" si="83"/>
        <v>0</v>
      </c>
      <c r="AG112" s="41">
        <f t="shared" si="84"/>
        <v>0</v>
      </c>
      <c r="AH112" s="41">
        <f t="shared" si="85"/>
        <v>0</v>
      </c>
      <c r="AI112" s="41">
        <f t="shared" si="86"/>
        <v>0</v>
      </c>
      <c r="AJ112" s="41">
        <f t="shared" si="87"/>
        <v>0</v>
      </c>
      <c r="AK112" s="41">
        <f t="shared" si="88"/>
        <v>0</v>
      </c>
      <c r="AL112" s="41">
        <f t="shared" si="89"/>
        <v>0</v>
      </c>
      <c r="AM112" s="41">
        <f t="shared" si="90"/>
        <v>0</v>
      </c>
      <c r="AN112" s="41">
        <f t="shared" si="91"/>
        <v>0</v>
      </c>
      <c r="AO112" s="41">
        <f t="shared" si="92"/>
        <v>0</v>
      </c>
      <c r="AP112" s="41">
        <f t="shared" si="93"/>
        <v>0</v>
      </c>
      <c r="AQ112" s="41">
        <f t="shared" si="94"/>
        <v>0</v>
      </c>
      <c r="AR112" s="41">
        <f t="shared" si="95"/>
        <v>0</v>
      </c>
      <c r="AS112" s="41">
        <f t="shared" si="96"/>
        <v>12.924816332042221</v>
      </c>
      <c r="AT112" s="92">
        <f t="shared" si="74"/>
        <v>56.007537438849624</v>
      </c>
    </row>
    <row r="113" spans="2:46" s="3" customFormat="1" ht="12.75" x14ac:dyDescent="0.2">
      <c r="B113" s="12">
        <f t="shared" si="75"/>
        <v>87</v>
      </c>
      <c r="C113" s="13">
        <f t="shared" si="98"/>
        <v>7.0053205051719372E-2</v>
      </c>
      <c r="D113" s="82">
        <f>IF($B113=V$21,'OBC Cost _Van Oord 2022'!$E$30,0)</f>
        <v>0</v>
      </c>
      <c r="E113" s="38">
        <f t="shared" si="76"/>
        <v>600</v>
      </c>
      <c r="F113" s="38"/>
      <c r="G113" s="38"/>
      <c r="H113" s="38"/>
      <c r="I113" s="38"/>
      <c r="J113" s="38"/>
      <c r="K113" s="38"/>
      <c r="L113" s="38"/>
      <c r="M113" s="38"/>
      <c r="N113" s="38"/>
      <c r="O113" s="38"/>
      <c r="P113" s="38"/>
      <c r="Q113" s="38"/>
      <c r="R113" s="38"/>
      <c r="S113" s="38"/>
      <c r="T113" s="38"/>
      <c r="U113" s="38"/>
      <c r="V113" s="38"/>
      <c r="W113" s="45">
        <f t="shared" si="97"/>
        <v>180</v>
      </c>
      <c r="X113" s="45"/>
      <c r="Y113" s="46">
        <f t="shared" si="73"/>
        <v>780</v>
      </c>
      <c r="Z113" s="41">
        <f t="shared" si="77"/>
        <v>0</v>
      </c>
      <c r="AA113" s="41">
        <f t="shared" si="78"/>
        <v>42.031923031031624</v>
      </c>
      <c r="AB113" s="41">
        <f t="shared" si="79"/>
        <v>0</v>
      </c>
      <c r="AC113" s="41">
        <f t="shared" si="80"/>
        <v>0</v>
      </c>
      <c r="AD113" s="41">
        <f t="shared" si="81"/>
        <v>0</v>
      </c>
      <c r="AE113" s="41">
        <f t="shared" si="82"/>
        <v>0</v>
      </c>
      <c r="AF113" s="41">
        <f t="shared" si="83"/>
        <v>0</v>
      </c>
      <c r="AG113" s="41">
        <f t="shared" si="84"/>
        <v>0</v>
      </c>
      <c r="AH113" s="41">
        <f t="shared" si="85"/>
        <v>0</v>
      </c>
      <c r="AI113" s="41">
        <f t="shared" si="86"/>
        <v>0</v>
      </c>
      <c r="AJ113" s="41">
        <f t="shared" si="87"/>
        <v>0</v>
      </c>
      <c r="AK113" s="41">
        <f t="shared" si="88"/>
        <v>0</v>
      </c>
      <c r="AL113" s="41">
        <f t="shared" si="89"/>
        <v>0</v>
      </c>
      <c r="AM113" s="41">
        <f t="shared" si="90"/>
        <v>0</v>
      </c>
      <c r="AN113" s="41">
        <f t="shared" si="91"/>
        <v>0</v>
      </c>
      <c r="AO113" s="41">
        <f t="shared" si="92"/>
        <v>0</v>
      </c>
      <c r="AP113" s="41">
        <f t="shared" si="93"/>
        <v>0</v>
      </c>
      <c r="AQ113" s="41">
        <f t="shared" si="94"/>
        <v>0</v>
      </c>
      <c r="AR113" s="41">
        <f t="shared" si="95"/>
        <v>0</v>
      </c>
      <c r="AS113" s="41">
        <f t="shared" si="96"/>
        <v>12.609576909309487</v>
      </c>
      <c r="AT113" s="92">
        <f t="shared" si="74"/>
        <v>54.641499940341113</v>
      </c>
    </row>
    <row r="114" spans="2:46" s="3" customFormat="1" ht="12.75" x14ac:dyDescent="0.2">
      <c r="B114" s="12">
        <f t="shared" si="75"/>
        <v>88</v>
      </c>
      <c r="C114" s="13">
        <f t="shared" si="98"/>
        <v>6.8344590294360366E-2</v>
      </c>
      <c r="D114" s="82">
        <f>IF($B114=V$21,'OBC Cost _Van Oord 2022'!$E$30,0)</f>
        <v>0</v>
      </c>
      <c r="E114" s="38">
        <f t="shared" si="76"/>
        <v>87000</v>
      </c>
      <c r="F114" s="38"/>
      <c r="G114" s="38"/>
      <c r="H114" s="38"/>
      <c r="I114" s="38"/>
      <c r="J114" s="38"/>
      <c r="K114" s="38"/>
      <c r="L114" s="38"/>
      <c r="M114" s="38"/>
      <c r="N114" s="38"/>
      <c r="O114" s="38"/>
      <c r="P114" s="38"/>
      <c r="Q114" s="38"/>
      <c r="R114" s="38"/>
      <c r="S114" s="38"/>
      <c r="T114" s="38"/>
      <c r="U114" s="38"/>
      <c r="V114" s="38"/>
      <c r="W114" s="45">
        <f t="shared" si="97"/>
        <v>26100</v>
      </c>
      <c r="X114" s="45"/>
      <c r="Y114" s="46">
        <f t="shared" si="73"/>
        <v>113100</v>
      </c>
      <c r="Z114" s="41">
        <f t="shared" si="77"/>
        <v>0</v>
      </c>
      <c r="AA114" s="41">
        <f t="shared" si="78"/>
        <v>5945.9793556093518</v>
      </c>
      <c r="AB114" s="41">
        <f t="shared" si="79"/>
        <v>0</v>
      </c>
      <c r="AC114" s="41">
        <f t="shared" si="80"/>
        <v>0</v>
      </c>
      <c r="AD114" s="41">
        <f t="shared" si="81"/>
        <v>0</v>
      </c>
      <c r="AE114" s="41">
        <f t="shared" si="82"/>
        <v>0</v>
      </c>
      <c r="AF114" s="41">
        <f t="shared" si="83"/>
        <v>0</v>
      </c>
      <c r="AG114" s="41">
        <f t="shared" si="84"/>
        <v>0</v>
      </c>
      <c r="AH114" s="41">
        <f t="shared" si="85"/>
        <v>0</v>
      </c>
      <c r="AI114" s="41">
        <f t="shared" si="86"/>
        <v>0</v>
      </c>
      <c r="AJ114" s="41">
        <f t="shared" si="87"/>
        <v>0</v>
      </c>
      <c r="AK114" s="41">
        <f t="shared" si="88"/>
        <v>0</v>
      </c>
      <c r="AL114" s="41">
        <f t="shared" si="89"/>
        <v>0</v>
      </c>
      <c r="AM114" s="41">
        <f t="shared" si="90"/>
        <v>0</v>
      </c>
      <c r="AN114" s="41">
        <f t="shared" si="91"/>
        <v>0</v>
      </c>
      <c r="AO114" s="41">
        <f t="shared" si="92"/>
        <v>0</v>
      </c>
      <c r="AP114" s="41">
        <f t="shared" si="93"/>
        <v>0</v>
      </c>
      <c r="AQ114" s="41">
        <f t="shared" si="94"/>
        <v>0</v>
      </c>
      <c r="AR114" s="41">
        <f t="shared" si="95"/>
        <v>0</v>
      </c>
      <c r="AS114" s="41">
        <f t="shared" si="96"/>
        <v>1783.7938066828056</v>
      </c>
      <c r="AT114" s="92">
        <f t="shared" si="74"/>
        <v>7729.7731622921574</v>
      </c>
    </row>
    <row r="115" spans="2:46" s="3" customFormat="1" ht="12.75" x14ac:dyDescent="0.2">
      <c r="B115" s="12">
        <f t="shared" si="75"/>
        <v>89</v>
      </c>
      <c r="C115" s="13">
        <f t="shared" si="98"/>
        <v>6.6677649067668654E-2</v>
      </c>
      <c r="D115" s="82">
        <f>IF($B115=V$21,'OBC Cost _Van Oord 2022'!$E$30,0)</f>
        <v>0</v>
      </c>
      <c r="E115" s="38">
        <f t="shared" si="76"/>
        <v>600</v>
      </c>
      <c r="F115" s="38"/>
      <c r="G115" s="38"/>
      <c r="H115" s="38"/>
      <c r="I115" s="38"/>
      <c r="J115" s="38"/>
      <c r="K115" s="38"/>
      <c r="L115" s="38"/>
      <c r="M115" s="38"/>
      <c r="N115" s="38"/>
      <c r="O115" s="38"/>
      <c r="P115" s="38"/>
      <c r="Q115" s="38"/>
      <c r="R115" s="38"/>
      <c r="S115" s="38"/>
      <c r="T115" s="38"/>
      <c r="U115" s="38"/>
      <c r="V115" s="38"/>
      <c r="W115" s="45">
        <f t="shared" si="97"/>
        <v>180</v>
      </c>
      <c r="X115" s="45"/>
      <c r="Y115" s="46">
        <f t="shared" si="73"/>
        <v>780</v>
      </c>
      <c r="Z115" s="41">
        <f t="shared" si="77"/>
        <v>0</v>
      </c>
      <c r="AA115" s="41">
        <f t="shared" si="78"/>
        <v>40.006589440601189</v>
      </c>
      <c r="AB115" s="41">
        <f t="shared" si="79"/>
        <v>0</v>
      </c>
      <c r="AC115" s="41">
        <f t="shared" si="80"/>
        <v>0</v>
      </c>
      <c r="AD115" s="41">
        <f t="shared" si="81"/>
        <v>0</v>
      </c>
      <c r="AE115" s="41">
        <f t="shared" si="82"/>
        <v>0</v>
      </c>
      <c r="AF115" s="41">
        <f t="shared" si="83"/>
        <v>0</v>
      </c>
      <c r="AG115" s="41">
        <f t="shared" si="84"/>
        <v>0</v>
      </c>
      <c r="AH115" s="41">
        <f t="shared" si="85"/>
        <v>0</v>
      </c>
      <c r="AI115" s="41">
        <f t="shared" si="86"/>
        <v>0</v>
      </c>
      <c r="AJ115" s="41">
        <f t="shared" si="87"/>
        <v>0</v>
      </c>
      <c r="AK115" s="41">
        <f t="shared" si="88"/>
        <v>0</v>
      </c>
      <c r="AL115" s="41">
        <f t="shared" si="89"/>
        <v>0</v>
      </c>
      <c r="AM115" s="41">
        <f t="shared" si="90"/>
        <v>0</v>
      </c>
      <c r="AN115" s="41">
        <f t="shared" si="91"/>
        <v>0</v>
      </c>
      <c r="AO115" s="41">
        <f t="shared" si="92"/>
        <v>0</v>
      </c>
      <c r="AP115" s="41">
        <f t="shared" si="93"/>
        <v>0</v>
      </c>
      <c r="AQ115" s="41">
        <f t="shared" si="94"/>
        <v>0</v>
      </c>
      <c r="AR115" s="41">
        <f t="shared" si="95"/>
        <v>0</v>
      </c>
      <c r="AS115" s="41">
        <f t="shared" si="96"/>
        <v>12.001976832180357</v>
      </c>
      <c r="AT115" s="92">
        <f t="shared" si="74"/>
        <v>52.00856627278155</v>
      </c>
    </row>
    <row r="116" spans="2:46" s="3" customFormat="1" ht="12.75" x14ac:dyDescent="0.2">
      <c r="B116" s="12">
        <f t="shared" si="75"/>
        <v>90</v>
      </c>
      <c r="C116" s="13">
        <f t="shared" si="98"/>
        <v>6.5051364944066992E-2</v>
      </c>
      <c r="D116" s="82">
        <f>IF($B116=V$21,'OBC Cost _Van Oord 2022'!$E$30,0)</f>
        <v>0</v>
      </c>
      <c r="E116" s="38">
        <f t="shared" si="76"/>
        <v>600</v>
      </c>
      <c r="F116" s="38"/>
      <c r="G116" s="38"/>
      <c r="H116" s="38"/>
      <c r="I116" s="38"/>
      <c r="J116" s="38"/>
      <c r="K116" s="38"/>
      <c r="L116" s="38"/>
      <c r="M116" s="38"/>
      <c r="N116" s="38"/>
      <c r="O116" s="38"/>
      <c r="P116" s="38"/>
      <c r="Q116" s="38"/>
      <c r="R116" s="38"/>
      <c r="S116" s="38"/>
      <c r="T116" s="38"/>
      <c r="U116" s="38"/>
      <c r="V116" s="38"/>
      <c r="W116" s="45">
        <f t="shared" si="97"/>
        <v>180</v>
      </c>
      <c r="X116" s="45"/>
      <c r="Y116" s="46">
        <f t="shared" si="73"/>
        <v>780</v>
      </c>
      <c r="Z116" s="41">
        <f t="shared" si="77"/>
        <v>0</v>
      </c>
      <c r="AA116" s="41">
        <f t="shared" si="78"/>
        <v>39.030818966440194</v>
      </c>
      <c r="AB116" s="41">
        <f t="shared" si="79"/>
        <v>0</v>
      </c>
      <c r="AC116" s="41">
        <f t="shared" si="80"/>
        <v>0</v>
      </c>
      <c r="AD116" s="41">
        <f t="shared" si="81"/>
        <v>0</v>
      </c>
      <c r="AE116" s="41">
        <f t="shared" si="82"/>
        <v>0</v>
      </c>
      <c r="AF116" s="41">
        <f t="shared" si="83"/>
        <v>0</v>
      </c>
      <c r="AG116" s="41">
        <f t="shared" si="84"/>
        <v>0</v>
      </c>
      <c r="AH116" s="41">
        <f t="shared" si="85"/>
        <v>0</v>
      </c>
      <c r="AI116" s="41">
        <f t="shared" si="86"/>
        <v>0</v>
      </c>
      <c r="AJ116" s="41">
        <f t="shared" si="87"/>
        <v>0</v>
      </c>
      <c r="AK116" s="41">
        <f t="shared" si="88"/>
        <v>0</v>
      </c>
      <c r="AL116" s="41">
        <f t="shared" si="89"/>
        <v>0</v>
      </c>
      <c r="AM116" s="41">
        <f t="shared" si="90"/>
        <v>0</v>
      </c>
      <c r="AN116" s="41">
        <f t="shared" si="91"/>
        <v>0</v>
      </c>
      <c r="AO116" s="41">
        <f t="shared" si="92"/>
        <v>0</v>
      </c>
      <c r="AP116" s="41">
        <f t="shared" si="93"/>
        <v>0</v>
      </c>
      <c r="AQ116" s="41">
        <f t="shared" si="94"/>
        <v>0</v>
      </c>
      <c r="AR116" s="41">
        <f t="shared" si="95"/>
        <v>0</v>
      </c>
      <c r="AS116" s="41">
        <f t="shared" si="96"/>
        <v>11.709245689932059</v>
      </c>
      <c r="AT116" s="92">
        <f t="shared" si="74"/>
        <v>50.740064656372255</v>
      </c>
    </row>
    <row r="117" spans="2:46" s="3" customFormat="1" ht="12.75" x14ac:dyDescent="0.2">
      <c r="B117" s="12">
        <f t="shared" si="75"/>
        <v>91</v>
      </c>
      <c r="C117" s="13">
        <f t="shared" si="98"/>
        <v>6.3464746286894635E-2</v>
      </c>
      <c r="D117" s="82">
        <f>IF($B117=V$21,'OBC Cost _Van Oord 2022'!$E$30,0)</f>
        <v>0</v>
      </c>
      <c r="E117" s="38">
        <f t="shared" si="76"/>
        <v>600</v>
      </c>
      <c r="F117" s="38"/>
      <c r="G117" s="38"/>
      <c r="H117" s="38"/>
      <c r="I117" s="38"/>
      <c r="J117" s="38"/>
      <c r="K117" s="38"/>
      <c r="L117" s="38"/>
      <c r="M117" s="38"/>
      <c r="N117" s="38"/>
      <c r="O117" s="38"/>
      <c r="P117" s="38"/>
      <c r="Q117" s="38"/>
      <c r="R117" s="38"/>
      <c r="S117" s="38"/>
      <c r="T117" s="38"/>
      <c r="U117" s="38"/>
      <c r="V117" s="38"/>
      <c r="W117" s="45">
        <f t="shared" si="97"/>
        <v>180</v>
      </c>
      <c r="X117" s="45"/>
      <c r="Y117" s="46">
        <f t="shared" si="73"/>
        <v>780</v>
      </c>
      <c r="Z117" s="41">
        <f t="shared" si="77"/>
        <v>0</v>
      </c>
      <c r="AA117" s="41">
        <f t="shared" si="78"/>
        <v>38.078847772136783</v>
      </c>
      <c r="AB117" s="41">
        <f t="shared" si="79"/>
        <v>0</v>
      </c>
      <c r="AC117" s="41">
        <f t="shared" si="80"/>
        <v>0</v>
      </c>
      <c r="AD117" s="41">
        <f t="shared" si="81"/>
        <v>0</v>
      </c>
      <c r="AE117" s="41">
        <f t="shared" si="82"/>
        <v>0</v>
      </c>
      <c r="AF117" s="41">
        <f t="shared" si="83"/>
        <v>0</v>
      </c>
      <c r="AG117" s="41">
        <f t="shared" si="84"/>
        <v>0</v>
      </c>
      <c r="AH117" s="41">
        <f t="shared" si="85"/>
        <v>0</v>
      </c>
      <c r="AI117" s="41">
        <f t="shared" si="86"/>
        <v>0</v>
      </c>
      <c r="AJ117" s="41">
        <f t="shared" si="87"/>
        <v>0</v>
      </c>
      <c r="AK117" s="41">
        <f t="shared" si="88"/>
        <v>0</v>
      </c>
      <c r="AL117" s="41">
        <f t="shared" si="89"/>
        <v>0</v>
      </c>
      <c r="AM117" s="41">
        <f t="shared" si="90"/>
        <v>0</v>
      </c>
      <c r="AN117" s="41">
        <f t="shared" si="91"/>
        <v>0</v>
      </c>
      <c r="AO117" s="41">
        <f t="shared" si="92"/>
        <v>0</v>
      </c>
      <c r="AP117" s="41">
        <f t="shared" si="93"/>
        <v>0</v>
      </c>
      <c r="AQ117" s="41">
        <f t="shared" si="94"/>
        <v>0</v>
      </c>
      <c r="AR117" s="41">
        <f t="shared" si="95"/>
        <v>0</v>
      </c>
      <c r="AS117" s="41">
        <f t="shared" si="96"/>
        <v>11.423654331641034</v>
      </c>
      <c r="AT117" s="92">
        <f t="shared" si="74"/>
        <v>49.502502103777815</v>
      </c>
    </row>
    <row r="118" spans="2:46" s="3" customFormat="1" ht="12.75" x14ac:dyDescent="0.2">
      <c r="B118" s="12">
        <f t="shared" si="75"/>
        <v>92</v>
      </c>
      <c r="C118" s="13">
        <f t="shared" si="98"/>
        <v>6.1916825645750871E-2</v>
      </c>
      <c r="D118" s="82">
        <f>IF($B118=V$21,'OBC Cost _Van Oord 2022'!$E$30,0)</f>
        <v>0</v>
      </c>
      <c r="E118" s="38">
        <f t="shared" si="76"/>
        <v>600</v>
      </c>
      <c r="F118" s="38"/>
      <c r="G118" s="38"/>
      <c r="H118" s="38"/>
      <c r="I118" s="38"/>
      <c r="J118" s="38"/>
      <c r="K118" s="38"/>
      <c r="L118" s="38"/>
      <c r="M118" s="38"/>
      <c r="N118" s="38"/>
      <c r="O118" s="38"/>
      <c r="P118" s="38"/>
      <c r="Q118" s="38"/>
      <c r="R118" s="38"/>
      <c r="S118" s="38"/>
      <c r="T118" s="38"/>
      <c r="U118" s="38"/>
      <c r="V118" s="38"/>
      <c r="W118" s="45">
        <f t="shared" si="97"/>
        <v>180</v>
      </c>
      <c r="X118" s="45"/>
      <c r="Y118" s="46">
        <f t="shared" si="73"/>
        <v>780</v>
      </c>
      <c r="Z118" s="41">
        <f t="shared" si="77"/>
        <v>0</v>
      </c>
      <c r="AA118" s="41">
        <f t="shared" si="78"/>
        <v>37.15009538745052</v>
      </c>
      <c r="AB118" s="41">
        <f t="shared" si="79"/>
        <v>0</v>
      </c>
      <c r="AC118" s="41">
        <f t="shared" si="80"/>
        <v>0</v>
      </c>
      <c r="AD118" s="41">
        <f t="shared" si="81"/>
        <v>0</v>
      </c>
      <c r="AE118" s="41">
        <f t="shared" si="82"/>
        <v>0</v>
      </c>
      <c r="AF118" s="41">
        <f t="shared" si="83"/>
        <v>0</v>
      </c>
      <c r="AG118" s="41">
        <f t="shared" si="84"/>
        <v>0</v>
      </c>
      <c r="AH118" s="41">
        <f t="shared" si="85"/>
        <v>0</v>
      </c>
      <c r="AI118" s="41">
        <f t="shared" si="86"/>
        <v>0</v>
      </c>
      <c r="AJ118" s="41">
        <f t="shared" si="87"/>
        <v>0</v>
      </c>
      <c r="AK118" s="41">
        <f t="shared" si="88"/>
        <v>0</v>
      </c>
      <c r="AL118" s="41">
        <f t="shared" si="89"/>
        <v>0</v>
      </c>
      <c r="AM118" s="41">
        <f t="shared" si="90"/>
        <v>0</v>
      </c>
      <c r="AN118" s="41">
        <f t="shared" si="91"/>
        <v>0</v>
      </c>
      <c r="AO118" s="41">
        <f t="shared" si="92"/>
        <v>0</v>
      </c>
      <c r="AP118" s="41">
        <f t="shared" si="93"/>
        <v>0</v>
      </c>
      <c r="AQ118" s="41">
        <f t="shared" si="94"/>
        <v>0</v>
      </c>
      <c r="AR118" s="41">
        <f t="shared" si="95"/>
        <v>0</v>
      </c>
      <c r="AS118" s="41">
        <f t="shared" si="96"/>
        <v>11.145028616235157</v>
      </c>
      <c r="AT118" s="92">
        <f t="shared" si="74"/>
        <v>48.295124003685679</v>
      </c>
    </row>
    <row r="119" spans="2:46" s="3" customFormat="1" ht="12.75" x14ac:dyDescent="0.2">
      <c r="B119" s="12">
        <f t="shared" si="75"/>
        <v>93</v>
      </c>
      <c r="C119" s="13">
        <f t="shared" si="98"/>
        <v>6.0406659166586218E-2</v>
      </c>
      <c r="D119" s="82">
        <f>IF($B119=V$21,'OBC Cost _Van Oord 2022'!$E$30,0)</f>
        <v>0</v>
      </c>
      <c r="E119" s="38">
        <f t="shared" si="76"/>
        <v>302130</v>
      </c>
      <c r="F119" s="38"/>
      <c r="G119" s="38"/>
      <c r="H119" s="38"/>
      <c r="I119" s="38"/>
      <c r="J119" s="38"/>
      <c r="K119" s="38"/>
      <c r="L119" s="38"/>
      <c r="M119" s="38"/>
      <c r="N119" s="38"/>
      <c r="O119" s="38"/>
      <c r="P119" s="38"/>
      <c r="Q119" s="38"/>
      <c r="R119" s="38"/>
      <c r="S119" s="38"/>
      <c r="T119" s="38"/>
      <c r="U119" s="38"/>
      <c r="V119" s="38"/>
      <c r="W119" s="45">
        <f t="shared" si="97"/>
        <v>90639</v>
      </c>
      <c r="X119" s="45"/>
      <c r="Y119" s="46">
        <f t="shared" si="73"/>
        <v>392769</v>
      </c>
      <c r="Z119" s="41">
        <f t="shared" si="77"/>
        <v>0</v>
      </c>
      <c r="AA119" s="41">
        <f t="shared" si="78"/>
        <v>18250.663934000695</v>
      </c>
      <c r="AB119" s="41">
        <f t="shared" si="79"/>
        <v>0</v>
      </c>
      <c r="AC119" s="41">
        <f t="shared" si="80"/>
        <v>0</v>
      </c>
      <c r="AD119" s="41">
        <f t="shared" si="81"/>
        <v>0</v>
      </c>
      <c r="AE119" s="41">
        <f t="shared" si="82"/>
        <v>0</v>
      </c>
      <c r="AF119" s="41">
        <f t="shared" si="83"/>
        <v>0</v>
      </c>
      <c r="AG119" s="41">
        <f t="shared" si="84"/>
        <v>0</v>
      </c>
      <c r="AH119" s="41">
        <f t="shared" si="85"/>
        <v>0</v>
      </c>
      <c r="AI119" s="41">
        <f t="shared" si="86"/>
        <v>0</v>
      </c>
      <c r="AJ119" s="41">
        <f t="shared" si="87"/>
        <v>0</v>
      </c>
      <c r="AK119" s="41">
        <f t="shared" si="88"/>
        <v>0</v>
      </c>
      <c r="AL119" s="41">
        <f t="shared" si="89"/>
        <v>0</v>
      </c>
      <c r="AM119" s="41">
        <f t="shared" si="90"/>
        <v>0</v>
      </c>
      <c r="AN119" s="41">
        <f t="shared" si="91"/>
        <v>0</v>
      </c>
      <c r="AO119" s="41">
        <f t="shared" si="92"/>
        <v>0</v>
      </c>
      <c r="AP119" s="41">
        <f t="shared" si="93"/>
        <v>0</v>
      </c>
      <c r="AQ119" s="41">
        <f t="shared" si="94"/>
        <v>0</v>
      </c>
      <c r="AR119" s="41">
        <f t="shared" si="95"/>
        <v>0</v>
      </c>
      <c r="AS119" s="41">
        <f t="shared" si="96"/>
        <v>5475.1991802002085</v>
      </c>
      <c r="AT119" s="92">
        <f t="shared" si="74"/>
        <v>23725.863114200904</v>
      </c>
    </row>
    <row r="120" spans="2:46" s="3" customFormat="1" ht="12.75" x14ac:dyDescent="0.2">
      <c r="B120" s="12">
        <f t="shared" si="75"/>
        <v>94</v>
      </c>
      <c r="C120" s="13">
        <f t="shared" si="98"/>
        <v>5.8933326016181682E-2</v>
      </c>
      <c r="D120" s="82">
        <f>IF($B120=V$21,'OBC Cost _Van Oord 2022'!$E$30,0)</f>
        <v>0</v>
      </c>
      <c r="E120" s="38">
        <f t="shared" si="76"/>
        <v>600</v>
      </c>
      <c r="F120" s="38"/>
      <c r="G120" s="38"/>
      <c r="H120" s="38"/>
      <c r="I120" s="38"/>
      <c r="J120" s="38"/>
      <c r="K120" s="38"/>
      <c r="L120" s="38"/>
      <c r="M120" s="38"/>
      <c r="N120" s="38"/>
      <c r="O120" s="38"/>
      <c r="P120" s="38"/>
      <c r="Q120" s="38"/>
      <c r="R120" s="38"/>
      <c r="S120" s="38"/>
      <c r="T120" s="38"/>
      <c r="U120" s="38"/>
      <c r="V120" s="38"/>
      <c r="W120" s="45">
        <f t="shared" si="97"/>
        <v>180</v>
      </c>
      <c r="X120" s="45"/>
      <c r="Y120" s="46">
        <f t="shared" si="73"/>
        <v>780</v>
      </c>
      <c r="Z120" s="41">
        <f t="shared" si="77"/>
        <v>0</v>
      </c>
      <c r="AA120" s="41">
        <f t="shared" si="78"/>
        <v>35.35999560970901</v>
      </c>
      <c r="AB120" s="41">
        <f t="shared" si="79"/>
        <v>0</v>
      </c>
      <c r="AC120" s="41">
        <f t="shared" si="80"/>
        <v>0</v>
      </c>
      <c r="AD120" s="41">
        <f t="shared" si="81"/>
        <v>0</v>
      </c>
      <c r="AE120" s="41">
        <f t="shared" si="82"/>
        <v>0</v>
      </c>
      <c r="AF120" s="41">
        <f t="shared" si="83"/>
        <v>0</v>
      </c>
      <c r="AG120" s="41">
        <f t="shared" si="84"/>
        <v>0</v>
      </c>
      <c r="AH120" s="41">
        <f t="shared" si="85"/>
        <v>0</v>
      </c>
      <c r="AI120" s="41">
        <f t="shared" si="86"/>
        <v>0</v>
      </c>
      <c r="AJ120" s="41">
        <f t="shared" si="87"/>
        <v>0</v>
      </c>
      <c r="AK120" s="41">
        <f t="shared" si="88"/>
        <v>0</v>
      </c>
      <c r="AL120" s="41">
        <f t="shared" si="89"/>
        <v>0</v>
      </c>
      <c r="AM120" s="41">
        <f t="shared" si="90"/>
        <v>0</v>
      </c>
      <c r="AN120" s="41">
        <f t="shared" si="91"/>
        <v>0</v>
      </c>
      <c r="AO120" s="41">
        <f t="shared" si="92"/>
        <v>0</v>
      </c>
      <c r="AP120" s="41">
        <f t="shared" si="93"/>
        <v>0</v>
      </c>
      <c r="AQ120" s="41">
        <f t="shared" si="94"/>
        <v>0</v>
      </c>
      <c r="AR120" s="41">
        <f t="shared" si="95"/>
        <v>0</v>
      </c>
      <c r="AS120" s="41">
        <f t="shared" si="96"/>
        <v>10.607998682912703</v>
      </c>
      <c r="AT120" s="92">
        <f t="shared" si="74"/>
        <v>45.967994292621711</v>
      </c>
    </row>
    <row r="121" spans="2:46" s="3" customFormat="1" ht="12.75" x14ac:dyDescent="0.2">
      <c r="B121" s="12">
        <f t="shared" si="75"/>
        <v>95</v>
      </c>
      <c r="C121" s="13">
        <f t="shared" si="98"/>
        <v>5.7495927820665059E-2</v>
      </c>
      <c r="D121" s="82">
        <f>IF($B121=V$21,'OBC Cost _Van Oord 2022'!$E$30,0)</f>
        <v>0</v>
      </c>
      <c r="E121" s="38">
        <f t="shared" si="76"/>
        <v>600</v>
      </c>
      <c r="F121" s="38"/>
      <c r="G121" s="38"/>
      <c r="H121" s="38"/>
      <c r="I121" s="38"/>
      <c r="J121" s="38"/>
      <c r="K121" s="38"/>
      <c r="L121" s="38"/>
      <c r="M121" s="38"/>
      <c r="N121" s="38"/>
      <c r="O121" s="38"/>
      <c r="P121" s="38"/>
      <c r="Q121" s="38"/>
      <c r="R121" s="38"/>
      <c r="S121" s="38"/>
      <c r="T121" s="38"/>
      <c r="U121" s="38"/>
      <c r="V121" s="38"/>
      <c r="W121" s="45">
        <f t="shared" si="97"/>
        <v>180</v>
      </c>
      <c r="X121" s="45"/>
      <c r="Y121" s="46">
        <f t="shared" si="73"/>
        <v>780</v>
      </c>
      <c r="Z121" s="41">
        <f t="shared" si="77"/>
        <v>0</v>
      </c>
      <c r="AA121" s="41">
        <f t="shared" si="78"/>
        <v>34.497556692399037</v>
      </c>
      <c r="AB121" s="41">
        <f t="shared" si="79"/>
        <v>0</v>
      </c>
      <c r="AC121" s="41">
        <f t="shared" si="80"/>
        <v>0</v>
      </c>
      <c r="AD121" s="41">
        <f t="shared" si="81"/>
        <v>0</v>
      </c>
      <c r="AE121" s="41">
        <f t="shared" si="82"/>
        <v>0</v>
      </c>
      <c r="AF121" s="41">
        <f t="shared" si="83"/>
        <v>0</v>
      </c>
      <c r="AG121" s="41">
        <f t="shared" si="84"/>
        <v>0</v>
      </c>
      <c r="AH121" s="41">
        <f t="shared" si="85"/>
        <v>0</v>
      </c>
      <c r="AI121" s="41">
        <f t="shared" si="86"/>
        <v>0</v>
      </c>
      <c r="AJ121" s="41">
        <f t="shared" si="87"/>
        <v>0</v>
      </c>
      <c r="AK121" s="41">
        <f t="shared" si="88"/>
        <v>0</v>
      </c>
      <c r="AL121" s="41">
        <f t="shared" si="89"/>
        <v>0</v>
      </c>
      <c r="AM121" s="41">
        <f t="shared" si="90"/>
        <v>0</v>
      </c>
      <c r="AN121" s="41">
        <f t="shared" si="91"/>
        <v>0</v>
      </c>
      <c r="AO121" s="41">
        <f t="shared" si="92"/>
        <v>0</v>
      </c>
      <c r="AP121" s="41">
        <f t="shared" si="93"/>
        <v>0</v>
      </c>
      <c r="AQ121" s="41">
        <f t="shared" si="94"/>
        <v>0</v>
      </c>
      <c r="AR121" s="41">
        <f t="shared" si="95"/>
        <v>0</v>
      </c>
      <c r="AS121" s="41">
        <f t="shared" si="96"/>
        <v>10.34926700771971</v>
      </c>
      <c r="AT121" s="92">
        <f t="shared" si="74"/>
        <v>44.846823700118748</v>
      </c>
    </row>
    <row r="122" spans="2:46" s="3" customFormat="1" ht="12.75" x14ac:dyDescent="0.2">
      <c r="B122" s="12">
        <f t="shared" si="75"/>
        <v>96</v>
      </c>
      <c r="C122" s="13">
        <f t="shared" si="98"/>
        <v>5.6093588117722012E-2</v>
      </c>
      <c r="D122" s="82">
        <f>IF($B122=V$21,'OBC Cost _Van Oord 2022'!$E$30,0)</f>
        <v>0</v>
      </c>
      <c r="E122" s="38">
        <f t="shared" si="76"/>
        <v>600</v>
      </c>
      <c r="F122" s="38"/>
      <c r="G122" s="38"/>
      <c r="H122" s="38"/>
      <c r="I122" s="38"/>
      <c r="J122" s="38"/>
      <c r="K122" s="38"/>
      <c r="L122" s="38"/>
      <c r="M122" s="38"/>
      <c r="N122" s="38"/>
      <c r="O122" s="38"/>
      <c r="P122" s="38"/>
      <c r="Q122" s="38"/>
      <c r="R122" s="38"/>
      <c r="S122" s="38"/>
      <c r="T122" s="38"/>
      <c r="U122" s="38"/>
      <c r="V122" s="38"/>
      <c r="W122" s="45">
        <f t="shared" si="97"/>
        <v>180</v>
      </c>
      <c r="X122" s="45"/>
      <c r="Y122" s="46">
        <f t="shared" ref="Y122:Y125" si="99">SUM(D122:X122)</f>
        <v>780</v>
      </c>
      <c r="Z122" s="41">
        <f t="shared" si="77"/>
        <v>0</v>
      </c>
      <c r="AA122" s="41">
        <f t="shared" si="78"/>
        <v>33.656152870633207</v>
      </c>
      <c r="AB122" s="41">
        <f t="shared" si="79"/>
        <v>0</v>
      </c>
      <c r="AC122" s="41">
        <f t="shared" si="80"/>
        <v>0</v>
      </c>
      <c r="AD122" s="41">
        <f t="shared" si="81"/>
        <v>0</v>
      </c>
      <c r="AE122" s="41">
        <f t="shared" si="82"/>
        <v>0</v>
      </c>
      <c r="AF122" s="41">
        <f t="shared" si="83"/>
        <v>0</v>
      </c>
      <c r="AG122" s="41">
        <f t="shared" si="84"/>
        <v>0</v>
      </c>
      <c r="AH122" s="41">
        <f t="shared" si="85"/>
        <v>0</v>
      </c>
      <c r="AI122" s="41">
        <f t="shared" si="86"/>
        <v>0</v>
      </c>
      <c r="AJ122" s="41">
        <f t="shared" si="87"/>
        <v>0</v>
      </c>
      <c r="AK122" s="41">
        <f t="shared" si="88"/>
        <v>0</v>
      </c>
      <c r="AL122" s="41">
        <f t="shared" si="89"/>
        <v>0</v>
      </c>
      <c r="AM122" s="41">
        <f t="shared" si="90"/>
        <v>0</v>
      </c>
      <c r="AN122" s="41">
        <f t="shared" si="91"/>
        <v>0</v>
      </c>
      <c r="AO122" s="41">
        <f t="shared" si="92"/>
        <v>0</v>
      </c>
      <c r="AP122" s="41">
        <f t="shared" si="93"/>
        <v>0</v>
      </c>
      <c r="AQ122" s="41">
        <f t="shared" si="94"/>
        <v>0</v>
      </c>
      <c r="AR122" s="41">
        <f t="shared" si="95"/>
        <v>0</v>
      </c>
      <c r="AS122" s="41">
        <f t="shared" si="96"/>
        <v>10.096845861189962</v>
      </c>
      <c r="AT122" s="92">
        <f t="shared" ref="AT122:AT125" si="100">SUM(Z122:AS122)</f>
        <v>43.752998731823169</v>
      </c>
    </row>
    <row r="123" spans="2:46" s="3" customFormat="1" ht="12.75" x14ac:dyDescent="0.2">
      <c r="B123" s="12">
        <f t="shared" si="75"/>
        <v>97</v>
      </c>
      <c r="C123" s="13">
        <f t="shared" si="98"/>
        <v>5.4725451822167821E-2</v>
      </c>
      <c r="D123" s="82">
        <f>IF($B123=V$21,'OBC Cost _Van Oord 2022'!$E$30,0)</f>
        <v>0</v>
      </c>
      <c r="E123" s="38">
        <f t="shared" si="76"/>
        <v>600</v>
      </c>
      <c r="F123" s="38"/>
      <c r="G123" s="38"/>
      <c r="H123" s="38"/>
      <c r="I123" s="38"/>
      <c r="J123" s="38"/>
      <c r="K123" s="38"/>
      <c r="L123" s="38"/>
      <c r="M123" s="38"/>
      <c r="N123" s="38"/>
      <c r="O123" s="38"/>
      <c r="P123" s="38"/>
      <c r="Q123" s="38"/>
      <c r="R123" s="38"/>
      <c r="S123" s="38"/>
      <c r="T123" s="38"/>
      <c r="U123" s="38"/>
      <c r="V123" s="38"/>
      <c r="W123" s="45">
        <f t="shared" si="97"/>
        <v>180</v>
      </c>
      <c r="X123" s="45"/>
      <c r="Y123" s="46">
        <f t="shared" si="99"/>
        <v>780</v>
      </c>
      <c r="Z123" s="41">
        <f t="shared" si="77"/>
        <v>0</v>
      </c>
      <c r="AA123" s="41">
        <f t="shared" si="78"/>
        <v>32.83527109330069</v>
      </c>
      <c r="AB123" s="41">
        <f t="shared" si="79"/>
        <v>0</v>
      </c>
      <c r="AC123" s="41">
        <f t="shared" si="80"/>
        <v>0</v>
      </c>
      <c r="AD123" s="41">
        <f t="shared" si="81"/>
        <v>0</v>
      </c>
      <c r="AE123" s="41">
        <f t="shared" si="82"/>
        <v>0</v>
      </c>
      <c r="AF123" s="41">
        <f t="shared" si="83"/>
        <v>0</v>
      </c>
      <c r="AG123" s="41">
        <f t="shared" si="84"/>
        <v>0</v>
      </c>
      <c r="AH123" s="41">
        <f t="shared" si="85"/>
        <v>0</v>
      </c>
      <c r="AI123" s="41">
        <f t="shared" si="86"/>
        <v>0</v>
      </c>
      <c r="AJ123" s="41">
        <f t="shared" si="87"/>
        <v>0</v>
      </c>
      <c r="AK123" s="41">
        <f t="shared" si="88"/>
        <v>0</v>
      </c>
      <c r="AL123" s="41">
        <f t="shared" si="89"/>
        <v>0</v>
      </c>
      <c r="AM123" s="41">
        <f t="shared" si="90"/>
        <v>0</v>
      </c>
      <c r="AN123" s="41">
        <f t="shared" si="91"/>
        <v>0</v>
      </c>
      <c r="AO123" s="41">
        <f t="shared" si="92"/>
        <v>0</v>
      </c>
      <c r="AP123" s="41">
        <f t="shared" si="93"/>
        <v>0</v>
      </c>
      <c r="AQ123" s="41">
        <f t="shared" si="94"/>
        <v>0</v>
      </c>
      <c r="AR123" s="41">
        <f t="shared" si="95"/>
        <v>0</v>
      </c>
      <c r="AS123" s="41">
        <f t="shared" si="96"/>
        <v>9.8505813279902075</v>
      </c>
      <c r="AT123" s="92">
        <f t="shared" si="100"/>
        <v>42.685852421290896</v>
      </c>
    </row>
    <row r="124" spans="2:46" s="3" customFormat="1" ht="12.75" x14ac:dyDescent="0.2">
      <c r="B124" s="12">
        <f t="shared" si="75"/>
        <v>98</v>
      </c>
      <c r="C124" s="13">
        <f t="shared" si="98"/>
        <v>5.3390684704553978E-2</v>
      </c>
      <c r="D124" s="82">
        <f>IF($B124=V$21,'OBC Cost _Van Oord 2022'!$E$30,0)</f>
        <v>0</v>
      </c>
      <c r="E124" s="38">
        <f t="shared" si="76"/>
        <v>87000</v>
      </c>
      <c r="F124" s="38"/>
      <c r="G124" s="38"/>
      <c r="H124" s="38"/>
      <c r="I124" s="38"/>
      <c r="J124" s="38"/>
      <c r="K124" s="38"/>
      <c r="L124" s="38"/>
      <c r="M124" s="38"/>
      <c r="N124" s="38"/>
      <c r="O124" s="38"/>
      <c r="P124" s="38"/>
      <c r="Q124" s="38"/>
      <c r="R124" s="38"/>
      <c r="S124" s="38"/>
      <c r="T124" s="38"/>
      <c r="U124" s="38"/>
      <c r="V124" s="38"/>
      <c r="W124" s="45">
        <f t="shared" si="97"/>
        <v>26100</v>
      </c>
      <c r="X124" s="45"/>
      <c r="Y124" s="46">
        <f t="shared" si="99"/>
        <v>113100</v>
      </c>
      <c r="Z124" s="41">
        <f t="shared" si="77"/>
        <v>0</v>
      </c>
      <c r="AA124" s="41">
        <f t="shared" si="78"/>
        <v>4644.9895692961964</v>
      </c>
      <c r="AB124" s="41">
        <f t="shared" si="79"/>
        <v>0</v>
      </c>
      <c r="AC124" s="41">
        <f t="shared" si="80"/>
        <v>0</v>
      </c>
      <c r="AD124" s="41">
        <f t="shared" si="81"/>
        <v>0</v>
      </c>
      <c r="AE124" s="41">
        <f t="shared" si="82"/>
        <v>0</v>
      </c>
      <c r="AF124" s="41">
        <f t="shared" si="83"/>
        <v>0</v>
      </c>
      <c r="AG124" s="41">
        <f t="shared" si="84"/>
        <v>0</v>
      </c>
      <c r="AH124" s="41">
        <f t="shared" si="85"/>
        <v>0</v>
      </c>
      <c r="AI124" s="41">
        <f t="shared" si="86"/>
        <v>0</v>
      </c>
      <c r="AJ124" s="41">
        <f t="shared" si="87"/>
        <v>0</v>
      </c>
      <c r="AK124" s="41">
        <f t="shared" si="88"/>
        <v>0</v>
      </c>
      <c r="AL124" s="41">
        <f t="shared" si="89"/>
        <v>0</v>
      </c>
      <c r="AM124" s="41">
        <f t="shared" si="90"/>
        <v>0</v>
      </c>
      <c r="AN124" s="41">
        <f t="shared" si="91"/>
        <v>0</v>
      </c>
      <c r="AO124" s="41">
        <f t="shared" si="92"/>
        <v>0</v>
      </c>
      <c r="AP124" s="41">
        <f t="shared" si="93"/>
        <v>0</v>
      </c>
      <c r="AQ124" s="41">
        <f t="shared" si="94"/>
        <v>0</v>
      </c>
      <c r="AR124" s="41">
        <f t="shared" si="95"/>
        <v>0</v>
      </c>
      <c r="AS124" s="41">
        <f t="shared" si="96"/>
        <v>1393.4968707888588</v>
      </c>
      <c r="AT124" s="92">
        <f t="shared" si="100"/>
        <v>6038.4864400850547</v>
      </c>
    </row>
    <row r="125" spans="2:46" s="3" customFormat="1" ht="13.5" thickBot="1" x14ac:dyDescent="0.25">
      <c r="B125" s="84">
        <f t="shared" si="75"/>
        <v>99</v>
      </c>
      <c r="C125" s="85">
        <f t="shared" si="98"/>
        <v>5.2088472882491688E-2</v>
      </c>
      <c r="D125" s="82">
        <f>IF($B125=V$21,'OBC Cost _Van Oord 2022'!$E$30,0)</f>
        <v>0</v>
      </c>
      <c r="E125" s="38">
        <f t="shared" si="76"/>
        <v>600</v>
      </c>
      <c r="F125" s="87"/>
      <c r="G125" s="87"/>
      <c r="H125" s="87"/>
      <c r="I125" s="87"/>
      <c r="J125" s="87"/>
      <c r="K125" s="87"/>
      <c r="L125" s="87"/>
      <c r="M125" s="87"/>
      <c r="N125" s="87"/>
      <c r="O125" s="87"/>
      <c r="P125" s="87"/>
      <c r="Q125" s="87"/>
      <c r="R125" s="87"/>
      <c r="S125" s="87"/>
      <c r="T125" s="87"/>
      <c r="U125" s="87"/>
      <c r="V125" s="87"/>
      <c r="W125" s="45">
        <f t="shared" si="97"/>
        <v>180</v>
      </c>
      <c r="X125" s="88"/>
      <c r="Y125" s="50">
        <f t="shared" si="99"/>
        <v>780</v>
      </c>
      <c r="Z125" s="41">
        <f t="shared" si="77"/>
        <v>0</v>
      </c>
      <c r="AA125" s="41">
        <f t="shared" si="78"/>
        <v>31.253083729495014</v>
      </c>
      <c r="AB125" s="41">
        <f t="shared" si="79"/>
        <v>0</v>
      </c>
      <c r="AC125" s="41">
        <f t="shared" si="80"/>
        <v>0</v>
      </c>
      <c r="AD125" s="41">
        <f t="shared" si="81"/>
        <v>0</v>
      </c>
      <c r="AE125" s="41">
        <f t="shared" si="82"/>
        <v>0</v>
      </c>
      <c r="AF125" s="41">
        <f t="shared" si="83"/>
        <v>0</v>
      </c>
      <c r="AG125" s="41">
        <f t="shared" si="84"/>
        <v>0</v>
      </c>
      <c r="AH125" s="41">
        <f t="shared" si="85"/>
        <v>0</v>
      </c>
      <c r="AI125" s="41">
        <f t="shared" si="86"/>
        <v>0</v>
      </c>
      <c r="AJ125" s="41">
        <f t="shared" si="87"/>
        <v>0</v>
      </c>
      <c r="AK125" s="41">
        <f t="shared" si="88"/>
        <v>0</v>
      </c>
      <c r="AL125" s="41">
        <f t="shared" si="89"/>
        <v>0</v>
      </c>
      <c r="AM125" s="41">
        <f t="shared" si="90"/>
        <v>0</v>
      </c>
      <c r="AN125" s="41">
        <f t="shared" si="91"/>
        <v>0</v>
      </c>
      <c r="AO125" s="41">
        <f t="shared" si="92"/>
        <v>0</v>
      </c>
      <c r="AP125" s="41">
        <f t="shared" si="93"/>
        <v>0</v>
      </c>
      <c r="AQ125" s="41">
        <f t="shared" si="94"/>
        <v>0</v>
      </c>
      <c r="AR125" s="41">
        <f t="shared" si="95"/>
        <v>0</v>
      </c>
      <c r="AS125" s="41">
        <f t="shared" si="96"/>
        <v>9.3759251188485031</v>
      </c>
      <c r="AT125" s="93">
        <f t="shared" si="100"/>
        <v>40.629008848343517</v>
      </c>
    </row>
    <row r="126" spans="2:46" x14ac:dyDescent="0.25">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row>
  </sheetData>
  <mergeCells count="1">
    <mergeCell ref="E10:V10"/>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A6BD2-EE61-4911-A9B5-DBCE56D38D0F}">
  <dimension ref="A1:K25"/>
  <sheetViews>
    <sheetView workbookViewId="0">
      <selection activeCell="J2" sqref="J2"/>
    </sheetView>
  </sheetViews>
  <sheetFormatPr defaultColWidth="9.140625" defaultRowHeight="15" x14ac:dyDescent="0.25"/>
  <cols>
    <col min="1" max="1" width="18.5703125" style="582" bestFit="1" customWidth="1"/>
    <col min="2" max="2" width="43.28515625" style="582" customWidth="1"/>
    <col min="3" max="3" width="12.7109375" style="582" customWidth="1"/>
    <col min="4" max="7" width="12.85546875" style="582" customWidth="1"/>
    <col min="8" max="8" width="13.5703125" style="582" customWidth="1"/>
    <col min="9" max="9" width="12.5703125" style="582" bestFit="1" customWidth="1"/>
    <col min="10" max="10" width="20.42578125" style="582" customWidth="1"/>
    <col min="11" max="11" width="14.28515625" style="582" bestFit="1" customWidth="1"/>
    <col min="12" max="16384" width="9.140625" style="582"/>
  </cols>
  <sheetData>
    <row r="1" spans="1:11" ht="30" x14ac:dyDescent="0.25">
      <c r="A1" s="680" t="s">
        <v>364</v>
      </c>
      <c r="B1" s="678" t="s">
        <v>346</v>
      </c>
      <c r="C1" s="678" t="s">
        <v>367</v>
      </c>
      <c r="D1" s="583" t="s">
        <v>363</v>
      </c>
      <c r="E1" s="583" t="s">
        <v>363</v>
      </c>
      <c r="F1" s="583" t="s">
        <v>363</v>
      </c>
      <c r="G1" s="583" t="s">
        <v>363</v>
      </c>
      <c r="H1" s="643" t="s">
        <v>368</v>
      </c>
    </row>
    <row r="2" spans="1:11" x14ac:dyDescent="0.25">
      <c r="A2" s="681"/>
      <c r="B2" s="679"/>
      <c r="C2" s="679"/>
      <c r="D2" s="583" t="s">
        <v>356</v>
      </c>
      <c r="E2" s="583" t="s">
        <v>357</v>
      </c>
      <c r="F2" s="583" t="s">
        <v>358</v>
      </c>
      <c r="G2" s="583" t="s">
        <v>359</v>
      </c>
      <c r="H2" s="644"/>
    </row>
    <row r="3" spans="1:11" x14ac:dyDescent="0.25">
      <c r="A3" s="586"/>
      <c r="B3" s="585"/>
      <c r="C3" s="585"/>
      <c r="D3" s="583">
        <f>'Preferred OBC PV'!C26</f>
        <v>1</v>
      </c>
      <c r="E3" s="583">
        <f>'Preferred OBC PV'!C27</f>
        <v>0.96618357487922713</v>
      </c>
      <c r="F3" s="583">
        <f>'Preferred OBC PV'!C28</f>
        <v>0.93351070036640305</v>
      </c>
      <c r="G3" s="583">
        <f>'Preferred OBC PV'!C29</f>
        <v>0.90194270566802237</v>
      </c>
      <c r="H3" s="585"/>
    </row>
    <row r="4" spans="1:11" x14ac:dyDescent="0.25">
      <c r="A4" s="351" t="s">
        <v>347</v>
      </c>
      <c r="B4" s="584" t="s">
        <v>347</v>
      </c>
      <c r="C4" s="587">
        <f>SUM(D4:G4)</f>
        <v>500000</v>
      </c>
      <c r="D4" s="588"/>
      <c r="E4" s="588"/>
      <c r="F4" s="588"/>
      <c r="G4" s="588">
        <v>500000</v>
      </c>
      <c r="H4" s="588">
        <f>SUMPRODUCT(D$3:G$3,D4:G4)</f>
        <v>450971.3528340112</v>
      </c>
      <c r="J4" s="582" t="s">
        <v>347</v>
      </c>
      <c r="K4" s="53">
        <f>SUMIF($A$4:$A$11,$J4,$H$4:$H$11)</f>
        <v>450971.3528340112</v>
      </c>
    </row>
    <row r="5" spans="1:11" ht="30" x14ac:dyDescent="0.25">
      <c r="A5" s="351" t="s">
        <v>365</v>
      </c>
      <c r="B5" s="584" t="s">
        <v>361</v>
      </c>
      <c r="C5" s="587">
        <f t="shared" ref="C5:C11" si="0">SUM(D5:G5)</f>
        <v>1700000</v>
      </c>
      <c r="D5" s="588"/>
      <c r="E5" s="588"/>
      <c r="F5" s="588"/>
      <c r="G5" s="588">
        <v>1700000</v>
      </c>
      <c r="H5" s="588">
        <f t="shared" ref="H5:H11" si="1">SUMPRODUCT(D$3:G$3,D5:G5)</f>
        <v>1533302.5996356381</v>
      </c>
      <c r="J5" s="582" t="s">
        <v>365</v>
      </c>
      <c r="K5" s="53">
        <f t="shared" ref="K5:K6" si="2">SUMIF($A$4:$A$11,$J5,$H$4:$H$11)</f>
        <v>2603165.9331990797</v>
      </c>
    </row>
    <row r="6" spans="1:11" ht="30" x14ac:dyDescent="0.25">
      <c r="A6" s="351" t="s">
        <v>365</v>
      </c>
      <c r="B6" s="584" t="s">
        <v>362</v>
      </c>
      <c r="C6" s="587">
        <f t="shared" si="0"/>
        <v>499917</v>
      </c>
      <c r="D6" s="588">
        <v>17417</v>
      </c>
      <c r="E6" s="588">
        <v>482500</v>
      </c>
      <c r="F6" s="588"/>
      <c r="G6" s="588"/>
      <c r="H6" s="588">
        <f t="shared" si="1"/>
        <v>483600.57487922709</v>
      </c>
      <c r="J6" s="582" t="s">
        <v>366</v>
      </c>
      <c r="K6" s="53">
        <f t="shared" si="2"/>
        <v>135291.40585020336</v>
      </c>
    </row>
    <row r="7" spans="1:11" x14ac:dyDescent="0.25">
      <c r="A7" s="351" t="s">
        <v>365</v>
      </c>
      <c r="B7" s="584" t="s">
        <v>348</v>
      </c>
      <c r="C7" s="587">
        <f t="shared" si="0"/>
        <v>500000</v>
      </c>
      <c r="D7" s="588"/>
      <c r="E7" s="588"/>
      <c r="F7" s="588"/>
      <c r="G7" s="588">
        <v>500000</v>
      </c>
      <c r="H7" s="588">
        <f t="shared" si="1"/>
        <v>450971.3528340112</v>
      </c>
      <c r="J7" s="582" t="s">
        <v>140</v>
      </c>
      <c r="K7" s="53">
        <f>SUM(K4:K6)</f>
        <v>3189428.6918832944</v>
      </c>
    </row>
    <row r="8" spans="1:11" x14ac:dyDescent="0.25">
      <c r="A8" s="351" t="s">
        <v>365</v>
      </c>
      <c r="B8" s="584" t="s">
        <v>349</v>
      </c>
      <c r="C8" s="587">
        <f t="shared" si="0"/>
        <v>100000</v>
      </c>
      <c r="D8" s="588"/>
      <c r="E8" s="588"/>
      <c r="F8" s="588"/>
      <c r="G8" s="588">
        <v>100000</v>
      </c>
      <c r="H8" s="588">
        <f t="shared" si="1"/>
        <v>90194.270566802239</v>
      </c>
    </row>
    <row r="9" spans="1:11" x14ac:dyDescent="0.25">
      <c r="A9" s="351" t="s">
        <v>366</v>
      </c>
      <c r="B9" s="584" t="s">
        <v>350</v>
      </c>
      <c r="C9" s="587">
        <f t="shared" si="0"/>
        <v>100000</v>
      </c>
      <c r="D9" s="588"/>
      <c r="E9" s="588"/>
      <c r="F9" s="588"/>
      <c r="G9" s="588">
        <v>100000</v>
      </c>
      <c r="H9" s="588">
        <f t="shared" si="1"/>
        <v>90194.270566802239</v>
      </c>
    </row>
    <row r="10" spans="1:11" ht="30" x14ac:dyDescent="0.25">
      <c r="A10" s="351" t="s">
        <v>366</v>
      </c>
      <c r="B10" s="584" t="s">
        <v>351</v>
      </c>
      <c r="C10" s="587">
        <f t="shared" si="0"/>
        <v>50000</v>
      </c>
      <c r="D10" s="588"/>
      <c r="E10" s="588"/>
      <c r="F10" s="588"/>
      <c r="G10" s="588">
        <v>50000</v>
      </c>
      <c r="H10" s="588">
        <f t="shared" si="1"/>
        <v>45097.13528340112</v>
      </c>
    </row>
    <row r="11" spans="1:11" x14ac:dyDescent="0.25">
      <c r="A11" s="351" t="s">
        <v>365</v>
      </c>
      <c r="B11" s="584" t="s">
        <v>352</v>
      </c>
      <c r="C11" s="587">
        <f t="shared" si="0"/>
        <v>50000</v>
      </c>
      <c r="D11" s="588"/>
      <c r="E11" s="588"/>
      <c r="F11" s="588"/>
      <c r="G11" s="588">
        <v>50000</v>
      </c>
      <c r="H11" s="588">
        <f t="shared" si="1"/>
        <v>45097.13528340112</v>
      </c>
    </row>
    <row r="12" spans="1:11" x14ac:dyDescent="0.25">
      <c r="A12" s="351"/>
      <c r="B12" s="584" t="s">
        <v>353</v>
      </c>
      <c r="C12" s="587">
        <f>SUM(C4:C11)</f>
        <v>3499917</v>
      </c>
      <c r="D12" s="587">
        <f t="shared" ref="D12:G12" si="3">SUM(D4:D11)</f>
        <v>17417</v>
      </c>
      <c r="E12" s="587">
        <f t="shared" si="3"/>
        <v>482500</v>
      </c>
      <c r="F12" s="587">
        <f t="shared" si="3"/>
        <v>0</v>
      </c>
      <c r="G12" s="587">
        <f t="shared" si="3"/>
        <v>3000000</v>
      </c>
      <c r="H12" s="587">
        <f>SUM(H4:H11)</f>
        <v>3189428.6918832948</v>
      </c>
    </row>
    <row r="13" spans="1:11" x14ac:dyDescent="0.25">
      <c r="A13" s="156"/>
      <c r="B13" s="589"/>
      <c r="C13" s="590"/>
      <c r="D13" s="590"/>
      <c r="E13" s="590"/>
      <c r="F13" s="590"/>
      <c r="G13" s="590"/>
      <c r="H13" s="590"/>
    </row>
    <row r="14" spans="1:11" x14ac:dyDescent="0.25">
      <c r="A14" s="156"/>
      <c r="B14" s="589"/>
      <c r="C14" s="590"/>
      <c r="D14" s="590"/>
      <c r="E14" s="590"/>
      <c r="F14" s="590"/>
      <c r="G14" s="590"/>
      <c r="H14" s="590"/>
    </row>
    <row r="15" spans="1:11" x14ac:dyDescent="0.25">
      <c r="A15" s="156"/>
      <c r="B15" s="589"/>
      <c r="C15" s="590"/>
      <c r="D15" s="590"/>
      <c r="E15" s="590"/>
      <c r="F15" s="590"/>
      <c r="G15" s="590"/>
      <c r="H15" s="590"/>
    </row>
    <row r="16" spans="1:11" x14ac:dyDescent="0.25">
      <c r="A16" s="682" t="s">
        <v>369</v>
      </c>
      <c r="B16" s="584" t="s">
        <v>354</v>
      </c>
      <c r="C16" s="587">
        <f t="shared" ref="C16:C17" si="4">SUM(D16:G16)</f>
        <v>15914481.209156033</v>
      </c>
      <c r="D16" s="587">
        <f>'Preferred OBC PV'!Y26-'Preferred OBC PV'!V26</f>
        <v>12500</v>
      </c>
      <c r="E16" s="588">
        <f>('Preferred OBC PV'!Y27-'Preferred OBC PV'!V27)+'Future cost, inflation and risk'!D25</f>
        <v>752745</v>
      </c>
      <c r="F16" s="588">
        <f>('Preferred OBC PV'!Y28-'Preferred OBC PV'!V28)+'Future cost, inflation and risk'!H25</f>
        <v>104767.5</v>
      </c>
      <c r="G16" s="588">
        <f>('Preferred OBC PV'!Y29-'Preferred OBC PV'!V29)+'Future cost, inflation and risk'!L25</f>
        <v>15044468.709156033</v>
      </c>
      <c r="H16" s="588">
        <f>'Preferred OBC PV'!AT23-('Preferred OBC PV'!AS23+'Preferred OBC PV'!AR23+'Preferred OBC PV'!AA23)+'Future cost, inflation and risk'!C27</f>
        <v>14406840.250247186</v>
      </c>
    </row>
    <row r="17" spans="1:11" x14ac:dyDescent="0.25">
      <c r="A17" s="682"/>
      <c r="B17" s="584" t="s">
        <v>355</v>
      </c>
      <c r="C17" s="587">
        <f t="shared" si="4"/>
        <v>5125587.453411852</v>
      </c>
      <c r="D17" s="588">
        <f>'Preferred OBC PV'!V26</f>
        <v>4838.7665783135717</v>
      </c>
      <c r="E17" s="588">
        <f>'Preferred OBC PV'!V27</f>
        <v>272325.78302748781</v>
      </c>
      <c r="F17" s="588">
        <f>'Preferred OBC PV'!V28</f>
        <v>35419.771353255339</v>
      </c>
      <c r="G17" s="588">
        <f>'Preferred OBC PV'!V29</f>
        <v>4813003.1324527953</v>
      </c>
      <c r="H17" s="588">
        <f>SUMPRODUCT(D$3:G$3,D17:G17)</f>
        <v>4642073.2683915328</v>
      </c>
    </row>
    <row r="18" spans="1:11" s="53" customFormat="1" x14ac:dyDescent="0.25">
      <c r="A18" s="682"/>
      <c r="B18" s="584" t="s">
        <v>328</v>
      </c>
      <c r="C18" s="588">
        <f t="shared" ref="C18:H18" si="5">C16+C17</f>
        <v>21040068.662567884</v>
      </c>
      <c r="D18" s="588">
        <f t="shared" si="5"/>
        <v>17338.766578313571</v>
      </c>
      <c r="E18" s="588">
        <f t="shared" si="5"/>
        <v>1025070.7830274878</v>
      </c>
      <c r="F18" s="588">
        <f t="shared" si="5"/>
        <v>140187.27135325535</v>
      </c>
      <c r="G18" s="588">
        <f t="shared" si="5"/>
        <v>19857471.84160883</v>
      </c>
      <c r="H18" s="588">
        <f t="shared" si="5"/>
        <v>19048913.518638719</v>
      </c>
      <c r="I18" s="53">
        <f>H18+H22</f>
        <v>19331385.518638719</v>
      </c>
    </row>
    <row r="19" spans="1:11" x14ac:dyDescent="0.25">
      <c r="J19" s="593" t="s">
        <v>371</v>
      </c>
    </row>
    <row r="20" spans="1:11" x14ac:dyDescent="0.25">
      <c r="B20" s="351" t="s">
        <v>370</v>
      </c>
      <c r="C20" s="592">
        <f>C18-C12</f>
        <v>17540151.662567884</v>
      </c>
      <c r="D20" s="592">
        <f>D18-D12</f>
        <v>-78.23342168642921</v>
      </c>
      <c r="E20" s="592">
        <f>E18-E12</f>
        <v>542570.78302748781</v>
      </c>
      <c r="F20" s="592">
        <f>F18-F12</f>
        <v>140187.27135325535</v>
      </c>
      <c r="G20" s="592">
        <f>G18-G12</f>
        <v>16857471.84160883</v>
      </c>
      <c r="H20" s="595">
        <f t="shared" ref="H20" si="6">SUMPRODUCT(D$3:G$3,D20:G20)</f>
        <v>15859484.826755434</v>
      </c>
      <c r="J20" s="594">
        <v>15722341</v>
      </c>
      <c r="K20" s="591">
        <f>J20-H23</f>
        <v>-419615.82675543427</v>
      </c>
    </row>
    <row r="22" spans="1:11" x14ac:dyDescent="0.25">
      <c r="H22" s="53">
        <v>282472</v>
      </c>
      <c r="J22" s="596">
        <f>J20*(1/1.02)</f>
        <v>15414059.803921567</v>
      </c>
    </row>
    <row r="23" spans="1:11" x14ac:dyDescent="0.25">
      <c r="H23" s="597">
        <f>H22+H20</f>
        <v>16141956.826755434</v>
      </c>
    </row>
    <row r="25" spans="1:11" x14ac:dyDescent="0.25">
      <c r="C25" s="591">
        <f>C12+C20</f>
        <v>21040068.662567884</v>
      </c>
      <c r="D25" s="591">
        <f t="shared" ref="D25:H25" si="7">D12+D20</f>
        <v>17338.766578313571</v>
      </c>
      <c r="E25" s="591">
        <f t="shared" si="7"/>
        <v>1025070.7830274878</v>
      </c>
      <c r="F25" s="591">
        <f t="shared" si="7"/>
        <v>140187.27135325535</v>
      </c>
      <c r="G25" s="591">
        <f t="shared" si="7"/>
        <v>19857471.84160883</v>
      </c>
      <c r="H25" s="591">
        <f t="shared" si="7"/>
        <v>19048913.51863873</v>
      </c>
      <c r="I25" s="591"/>
    </row>
  </sheetData>
  <mergeCells count="4">
    <mergeCell ref="C1:C2"/>
    <mergeCell ref="B1:B2"/>
    <mergeCell ref="A1:A2"/>
    <mergeCell ref="A16:A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6BF58-FAA3-4A49-AA8D-D13A79177387}">
  <dimension ref="A1:BB14"/>
  <sheetViews>
    <sheetView workbookViewId="0">
      <selection activeCell="O13" sqref="O13"/>
    </sheetView>
  </sheetViews>
  <sheetFormatPr defaultColWidth="9.140625" defaultRowHeight="15" x14ac:dyDescent="0.25"/>
  <cols>
    <col min="1" max="1" width="44.28515625" style="578" bestFit="1" customWidth="1"/>
    <col min="2" max="54" width="4.42578125" style="578" customWidth="1"/>
    <col min="55" max="16384" width="9.140625" style="578"/>
  </cols>
  <sheetData>
    <row r="1" spans="1:54" x14ac:dyDescent="0.25">
      <c r="B1" s="683" t="s">
        <v>356</v>
      </c>
      <c r="C1" s="683"/>
      <c r="D1" s="683"/>
      <c r="E1" s="683"/>
      <c r="F1" s="683"/>
      <c r="G1" s="683"/>
      <c r="H1" s="683"/>
      <c r="I1" s="683"/>
      <c r="J1" s="683" t="s">
        <v>357</v>
      </c>
      <c r="K1" s="683"/>
      <c r="L1" s="683"/>
      <c r="M1" s="683"/>
      <c r="N1" s="683"/>
      <c r="O1" s="683"/>
      <c r="P1" s="683"/>
      <c r="Q1" s="683"/>
      <c r="R1" s="683"/>
      <c r="S1" s="683"/>
      <c r="T1" s="683"/>
      <c r="U1" s="683"/>
      <c r="V1" s="683" t="s">
        <v>358</v>
      </c>
      <c r="W1" s="683"/>
      <c r="X1" s="683"/>
      <c r="Y1" s="683"/>
      <c r="Z1" s="683"/>
      <c r="AA1" s="683"/>
      <c r="AB1" s="683"/>
      <c r="AC1" s="683"/>
      <c r="AD1" s="683"/>
      <c r="AE1" s="683"/>
      <c r="AF1" s="683"/>
      <c r="AG1" s="683"/>
      <c r="AH1" s="683" t="s">
        <v>359</v>
      </c>
      <c r="AI1" s="683"/>
      <c r="AJ1" s="683"/>
      <c r="AK1" s="683"/>
      <c r="AL1" s="683"/>
      <c r="AM1" s="683"/>
      <c r="AN1" s="683"/>
      <c r="AO1" s="683"/>
      <c r="AP1" s="683"/>
      <c r="AQ1" s="683"/>
      <c r="AR1" s="683"/>
      <c r="AS1" s="683"/>
    </row>
    <row r="2" spans="1:54" ht="39" x14ac:dyDescent="0.25">
      <c r="B2" s="613">
        <v>45139</v>
      </c>
      <c r="C2" s="613">
        <v>45170</v>
      </c>
      <c r="D2" s="613">
        <v>45200</v>
      </c>
      <c r="E2" s="613">
        <v>45231</v>
      </c>
      <c r="F2" s="613">
        <v>45261</v>
      </c>
      <c r="G2" s="613">
        <v>45292</v>
      </c>
      <c r="H2" s="613">
        <v>45323</v>
      </c>
      <c r="I2" s="614">
        <v>45352</v>
      </c>
      <c r="J2" s="613">
        <v>45383</v>
      </c>
      <c r="K2" s="613">
        <v>45413</v>
      </c>
      <c r="L2" s="613">
        <v>45444</v>
      </c>
      <c r="M2" s="613">
        <v>45474</v>
      </c>
      <c r="N2" s="613">
        <v>45505</v>
      </c>
      <c r="O2" s="613">
        <v>45536</v>
      </c>
      <c r="P2" s="613">
        <v>45566</v>
      </c>
      <c r="Q2" s="613">
        <v>45597</v>
      </c>
      <c r="R2" s="613">
        <v>45627</v>
      </c>
      <c r="S2" s="613">
        <v>45658</v>
      </c>
      <c r="T2" s="613">
        <v>45689</v>
      </c>
      <c r="U2" s="614">
        <v>45717</v>
      </c>
      <c r="V2" s="613">
        <v>45748</v>
      </c>
      <c r="W2" s="613">
        <v>45778</v>
      </c>
      <c r="X2" s="613">
        <v>45809</v>
      </c>
      <c r="Y2" s="613">
        <v>45839</v>
      </c>
      <c r="Z2" s="613">
        <v>45870</v>
      </c>
      <c r="AA2" s="613">
        <v>45901</v>
      </c>
      <c r="AB2" s="613">
        <v>45931</v>
      </c>
      <c r="AC2" s="613">
        <v>45962</v>
      </c>
      <c r="AD2" s="613">
        <v>45992</v>
      </c>
      <c r="AE2" s="613">
        <v>46023</v>
      </c>
      <c r="AF2" s="613">
        <v>46054</v>
      </c>
      <c r="AG2" s="614">
        <v>46082</v>
      </c>
      <c r="AH2" s="613">
        <v>46113</v>
      </c>
      <c r="AI2" s="613">
        <v>46143</v>
      </c>
      <c r="AJ2" s="613">
        <v>46174</v>
      </c>
      <c r="AK2" s="613">
        <v>46204</v>
      </c>
      <c r="AL2" s="613">
        <v>46235</v>
      </c>
      <c r="AM2" s="613">
        <v>46266</v>
      </c>
      <c r="AN2" s="613">
        <v>46296</v>
      </c>
      <c r="AO2" s="613">
        <v>46327</v>
      </c>
      <c r="AP2" s="613">
        <v>46357</v>
      </c>
      <c r="AQ2" s="613">
        <v>46388</v>
      </c>
      <c r="AR2" s="613">
        <v>46419</v>
      </c>
      <c r="AS2" s="614">
        <v>46447</v>
      </c>
      <c r="AT2" s="613">
        <v>46478</v>
      </c>
      <c r="AU2" s="613">
        <v>46508</v>
      </c>
      <c r="AV2" s="613">
        <v>46539</v>
      </c>
      <c r="AW2" s="613">
        <v>46569</v>
      </c>
      <c r="AX2" s="613">
        <v>46600</v>
      </c>
      <c r="AY2" s="613">
        <v>46631</v>
      </c>
      <c r="AZ2" s="613">
        <v>46661</v>
      </c>
      <c r="BA2" s="613">
        <v>46692</v>
      </c>
      <c r="BB2" s="613">
        <v>46722</v>
      </c>
    </row>
    <row r="3" spans="1:54" x14ac:dyDescent="0.25">
      <c r="A3" s="548" t="s">
        <v>393</v>
      </c>
      <c r="B3" s="612"/>
      <c r="I3" s="611"/>
      <c r="U3" s="611"/>
      <c r="AG3" s="611"/>
      <c r="AS3" s="611"/>
    </row>
    <row r="4" spans="1:54" x14ac:dyDescent="0.25">
      <c r="A4" s="548" t="s">
        <v>392</v>
      </c>
      <c r="D4" s="612"/>
      <c r="I4" s="611"/>
      <c r="U4" s="611"/>
      <c r="AG4" s="611"/>
      <c r="AS4" s="611"/>
    </row>
    <row r="5" spans="1:54" x14ac:dyDescent="0.25">
      <c r="A5" s="548" t="s">
        <v>391</v>
      </c>
      <c r="E5" s="612"/>
      <c r="F5" s="612"/>
      <c r="G5" s="612"/>
      <c r="H5" s="612"/>
      <c r="I5" s="611"/>
      <c r="U5" s="611"/>
      <c r="AG5" s="611"/>
      <c r="AS5" s="611"/>
    </row>
    <row r="6" spans="1:54" x14ac:dyDescent="0.25">
      <c r="A6" s="548" t="s">
        <v>390</v>
      </c>
      <c r="I6" s="610"/>
      <c r="U6" s="611"/>
      <c r="AG6" s="611"/>
      <c r="AS6" s="611"/>
    </row>
    <row r="7" spans="1:54" x14ac:dyDescent="0.25">
      <c r="A7" s="548" t="s">
        <v>389</v>
      </c>
      <c r="I7" s="611"/>
      <c r="J7" s="612"/>
      <c r="K7" s="612"/>
      <c r="L7" s="612"/>
      <c r="M7" s="612"/>
      <c r="N7" s="612"/>
      <c r="O7" s="612"/>
      <c r="P7" s="612"/>
      <c r="Q7" s="612"/>
      <c r="R7" s="612"/>
      <c r="S7" s="612"/>
      <c r="T7" s="612"/>
      <c r="U7" s="612"/>
      <c r="AG7" s="611"/>
      <c r="AS7" s="611"/>
    </row>
    <row r="8" spans="1:54" x14ac:dyDescent="0.25">
      <c r="A8" s="548" t="s">
        <v>388</v>
      </c>
      <c r="I8" s="611"/>
      <c r="T8" s="612"/>
      <c r="U8" s="610"/>
      <c r="V8" s="612"/>
      <c r="W8" s="612"/>
      <c r="X8" s="612"/>
      <c r="Y8" s="612"/>
      <c r="AG8" s="611"/>
      <c r="AS8" s="611"/>
    </row>
    <row r="9" spans="1:54" x14ac:dyDescent="0.25">
      <c r="A9" s="548" t="s">
        <v>387</v>
      </c>
      <c r="I9" s="611"/>
      <c r="U9" s="611"/>
      <c r="Z9" s="612"/>
      <c r="AA9" s="612"/>
      <c r="AB9" s="612"/>
      <c r="AC9" s="612"/>
      <c r="AG9" s="611"/>
      <c r="AS9" s="611"/>
    </row>
    <row r="10" spans="1:54" x14ac:dyDescent="0.25">
      <c r="A10" s="548" t="s">
        <v>386</v>
      </c>
      <c r="I10" s="611"/>
      <c r="U10" s="611"/>
      <c r="AD10" s="612"/>
      <c r="AG10" s="611"/>
      <c r="AS10" s="611"/>
    </row>
    <row r="11" spans="1:54" x14ac:dyDescent="0.25">
      <c r="A11" s="548" t="s">
        <v>385</v>
      </c>
      <c r="I11" s="611"/>
      <c r="U11" s="611"/>
      <c r="AE11" s="612"/>
      <c r="AF11" s="612"/>
      <c r="AG11" s="611"/>
      <c r="AS11" s="611"/>
    </row>
    <row r="12" spans="1:54" x14ac:dyDescent="0.25">
      <c r="A12" s="548" t="s">
        <v>384</v>
      </c>
      <c r="I12" s="611"/>
      <c r="U12" s="611"/>
      <c r="AG12" s="610"/>
      <c r="AH12" s="612"/>
      <c r="AI12" s="612"/>
      <c r="AJ12" s="612"/>
      <c r="AK12" s="612"/>
      <c r="AL12" s="612"/>
      <c r="AM12" s="612"/>
      <c r="AN12" s="612"/>
      <c r="AO12" s="612"/>
      <c r="AP12" s="612"/>
      <c r="AQ12" s="612"/>
      <c r="AR12" s="612"/>
      <c r="AS12" s="611"/>
    </row>
    <row r="13" spans="1:54" x14ac:dyDescent="0.25">
      <c r="A13" s="548" t="s">
        <v>383</v>
      </c>
      <c r="I13" s="611"/>
      <c r="U13" s="611"/>
      <c r="AG13" s="611"/>
      <c r="AS13" s="610"/>
    </row>
    <row r="14" spans="1:54" x14ac:dyDescent="0.25">
      <c r="A14" s="548" t="s">
        <v>382</v>
      </c>
      <c r="I14" s="611"/>
      <c r="U14" s="611"/>
      <c r="AG14" s="611"/>
      <c r="AS14" s="610"/>
    </row>
  </sheetData>
  <mergeCells count="4">
    <mergeCell ref="B1:I1"/>
    <mergeCell ref="J1:U1"/>
    <mergeCell ref="V1:AG1"/>
    <mergeCell ref="AH1:AS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92D050"/>
  </sheetPr>
  <dimension ref="A1:AI147"/>
  <sheetViews>
    <sheetView zoomScale="68" workbookViewId="0">
      <selection activeCell="J19" sqref="J19"/>
    </sheetView>
  </sheetViews>
  <sheetFormatPr defaultRowHeight="15" x14ac:dyDescent="0.25"/>
  <cols>
    <col min="1" max="1" width="8.85546875" style="122"/>
    <col min="2" max="2" width="14.85546875" customWidth="1"/>
    <col min="3" max="3" width="15.5703125" customWidth="1"/>
    <col min="4" max="4" width="17.140625" bestFit="1" customWidth="1"/>
    <col min="5" max="5" width="11.5703125" bestFit="1" customWidth="1"/>
    <col min="6" max="6" width="12.42578125" bestFit="1" customWidth="1"/>
    <col min="7" max="7" width="14.85546875" bestFit="1" customWidth="1"/>
    <col min="9" max="12" width="8.85546875" style="122"/>
    <col min="13" max="13" width="11.140625" style="122" bestFit="1" customWidth="1"/>
    <col min="14" max="14" width="13.42578125" style="122" customWidth="1"/>
    <col min="15" max="16" width="8.85546875" style="122"/>
    <col min="17" max="17" width="24.85546875" customWidth="1"/>
    <col min="19" max="19" width="14.42578125" bestFit="1" customWidth="1"/>
  </cols>
  <sheetData>
    <row r="1" spans="1:35" s="122" customFormat="1" ht="33" customHeight="1" x14ac:dyDescent="0.25">
      <c r="A1" s="686" t="s">
        <v>215</v>
      </c>
      <c r="B1" s="687"/>
      <c r="C1" s="687"/>
      <c r="D1" s="687"/>
      <c r="E1" s="687"/>
      <c r="F1" s="687"/>
      <c r="G1" s="687"/>
      <c r="H1" s="687"/>
      <c r="I1" s="687"/>
      <c r="J1" s="687"/>
      <c r="K1" s="687"/>
      <c r="L1" s="687"/>
      <c r="M1" s="687"/>
      <c r="N1" s="687"/>
      <c r="O1" s="687"/>
      <c r="P1" s="687"/>
      <c r="Q1" s="687"/>
      <c r="R1" s="687"/>
      <c r="S1" s="687"/>
      <c r="T1" s="381"/>
      <c r="U1" s="381"/>
      <c r="V1" s="381"/>
      <c r="W1" s="381"/>
      <c r="X1" s="381"/>
      <c r="Y1" s="381"/>
      <c r="Z1" s="381"/>
      <c r="AA1" s="381"/>
      <c r="AB1" s="381"/>
      <c r="AC1" s="381"/>
      <c r="AD1" s="381"/>
      <c r="AE1" s="381"/>
      <c r="AF1" s="381"/>
      <c r="AG1" s="381"/>
      <c r="AH1" s="381"/>
      <c r="AI1" s="381"/>
    </row>
    <row r="2" spans="1:35" x14ac:dyDescent="0.25">
      <c r="B2" s="372"/>
      <c r="C2" s="372"/>
      <c r="D2" s="372"/>
      <c r="E2" s="372"/>
      <c r="F2" s="372"/>
      <c r="G2" s="372"/>
      <c r="H2" s="372"/>
      <c r="I2" s="372"/>
      <c r="J2" s="372"/>
      <c r="K2" s="372"/>
      <c r="L2" s="372"/>
      <c r="M2" s="372"/>
      <c r="N2" s="372"/>
      <c r="O2" s="372"/>
      <c r="P2" s="372"/>
      <c r="Q2" s="372"/>
    </row>
    <row r="3" spans="1:35" x14ac:dyDescent="0.25">
      <c r="B3" s="684" t="s">
        <v>195</v>
      </c>
      <c r="C3" s="684"/>
      <c r="D3" s="684"/>
      <c r="E3" s="684"/>
      <c r="F3" s="684"/>
      <c r="G3" s="684"/>
    </row>
    <row r="5" spans="1:35" x14ac:dyDescent="0.25">
      <c r="B5" s="688" t="s">
        <v>182</v>
      </c>
      <c r="C5" s="688"/>
      <c r="D5" s="688"/>
      <c r="E5" s="688"/>
      <c r="F5" s="688"/>
      <c r="G5" s="688"/>
    </row>
    <row r="6" spans="1:35" ht="38.1" customHeight="1" x14ac:dyDescent="0.25">
      <c r="C6" s="384" t="s">
        <v>183</v>
      </c>
      <c r="D6" s="384" t="s">
        <v>187</v>
      </c>
      <c r="E6" s="384" t="s">
        <v>188</v>
      </c>
      <c r="F6" s="384" t="s">
        <v>189</v>
      </c>
      <c r="G6" s="384" t="s">
        <v>190</v>
      </c>
    </row>
    <row r="7" spans="1:35" x14ac:dyDescent="0.25">
      <c r="C7" s="158" t="s">
        <v>184</v>
      </c>
      <c r="D7" s="394">
        <f>(4.6+0.6)*24/2</f>
        <v>62.399999999999991</v>
      </c>
      <c r="E7" s="158">
        <v>200</v>
      </c>
      <c r="F7" s="389">
        <f>D7*E7</f>
        <v>12479.999999999998</v>
      </c>
      <c r="G7" s="696">
        <f>SUM(F7:F9)</f>
        <v>25839.999999999996</v>
      </c>
    </row>
    <row r="8" spans="1:35" x14ac:dyDescent="0.25">
      <c r="C8" s="158" t="s">
        <v>185</v>
      </c>
      <c r="D8" s="394">
        <f>(4.6+0.6)*22/2</f>
        <v>57.199999999999989</v>
      </c>
      <c r="E8" s="158">
        <v>200</v>
      </c>
      <c r="F8" s="389">
        <f t="shared" ref="F8:F9" si="0">D8*E8</f>
        <v>11439.999999999998</v>
      </c>
      <c r="G8" s="696"/>
    </row>
    <row r="9" spans="1:35" s="122" customFormat="1" x14ac:dyDescent="0.25">
      <c r="C9" s="158" t="s">
        <v>197</v>
      </c>
      <c r="D9" s="394">
        <f>0.6*16</f>
        <v>9.6</v>
      </c>
      <c r="E9" s="158">
        <v>200</v>
      </c>
      <c r="F9" s="389">
        <f t="shared" si="0"/>
        <v>1920</v>
      </c>
      <c r="G9" s="696"/>
    </row>
    <row r="10" spans="1:35" x14ac:dyDescent="0.25">
      <c r="B10" s="688" t="s">
        <v>186</v>
      </c>
      <c r="C10" s="688"/>
      <c r="D10" s="688"/>
      <c r="E10" s="688"/>
      <c r="F10" s="688"/>
      <c r="G10" s="688"/>
    </row>
    <row r="11" spans="1:35" ht="30" x14ac:dyDescent="0.25">
      <c r="B11" s="384" t="s">
        <v>191</v>
      </c>
      <c r="C11" s="384" t="s">
        <v>192</v>
      </c>
      <c r="D11" s="385" t="s">
        <v>193</v>
      </c>
      <c r="E11" s="384" t="s">
        <v>188</v>
      </c>
      <c r="F11" s="384" t="s">
        <v>189</v>
      </c>
      <c r="G11" s="384" t="s">
        <v>190</v>
      </c>
    </row>
    <row r="12" spans="1:35" x14ac:dyDescent="0.25">
      <c r="B12" s="394">
        <f>(D7)</f>
        <v>62.399999999999991</v>
      </c>
      <c r="C12" s="158">
        <v>4</v>
      </c>
      <c r="D12" s="394">
        <f>B12*C12</f>
        <v>249.59999999999997</v>
      </c>
      <c r="E12" s="158">
        <v>320</v>
      </c>
      <c r="F12" s="389">
        <f>E12*D12</f>
        <v>79871.999999999985</v>
      </c>
      <c r="G12" s="395">
        <f>F12</f>
        <v>79871.999999999985</v>
      </c>
    </row>
    <row r="13" spans="1:35" x14ac:dyDescent="0.25">
      <c r="F13" s="371"/>
      <c r="G13" s="371"/>
    </row>
    <row r="14" spans="1:35" x14ac:dyDescent="0.25">
      <c r="B14" s="684" t="s">
        <v>194</v>
      </c>
      <c r="C14" s="684"/>
      <c r="D14" s="684"/>
      <c r="E14" s="684"/>
      <c r="F14" s="684"/>
      <c r="G14" s="684"/>
    </row>
    <row r="16" spans="1:35" x14ac:dyDescent="0.25">
      <c r="B16" s="688" t="s">
        <v>182</v>
      </c>
      <c r="C16" s="688"/>
      <c r="D16" s="688"/>
      <c r="E16" s="688"/>
      <c r="F16" s="688"/>
      <c r="G16" s="688"/>
    </row>
    <row r="17" spans="1:7" ht="30" x14ac:dyDescent="0.25">
      <c r="C17" s="384" t="s">
        <v>183</v>
      </c>
      <c r="D17" s="384" t="s">
        <v>187</v>
      </c>
      <c r="E17" s="384" t="s">
        <v>188</v>
      </c>
      <c r="F17" s="384" t="s">
        <v>189</v>
      </c>
      <c r="G17" s="384" t="s">
        <v>190</v>
      </c>
    </row>
    <row r="18" spans="1:7" x14ac:dyDescent="0.25">
      <c r="C18" s="158" t="s">
        <v>184</v>
      </c>
      <c r="D18" s="394">
        <f>0.3*20</f>
        <v>6</v>
      </c>
      <c r="E18" s="158">
        <v>200</v>
      </c>
      <c r="F18" s="389">
        <f>D18*E18</f>
        <v>1200</v>
      </c>
      <c r="G18" s="696">
        <f>SUM(F18:F20)</f>
        <v>3420</v>
      </c>
    </row>
    <row r="19" spans="1:7" x14ac:dyDescent="0.25">
      <c r="C19" s="158" t="s">
        <v>198</v>
      </c>
      <c r="D19" s="394">
        <f>0.3*25</f>
        <v>7.5</v>
      </c>
      <c r="E19" s="158">
        <v>200</v>
      </c>
      <c r="F19" s="389">
        <f t="shared" ref="F19:F20" si="1">D19*E19</f>
        <v>1500</v>
      </c>
      <c r="G19" s="696"/>
    </row>
    <row r="20" spans="1:7" x14ac:dyDescent="0.25">
      <c r="C20" s="158" t="s">
        <v>197</v>
      </c>
      <c r="D20" s="394">
        <f>12*0.3</f>
        <v>3.5999999999999996</v>
      </c>
      <c r="E20" s="158">
        <v>200</v>
      </c>
      <c r="F20" s="389">
        <f t="shared" si="1"/>
        <v>719.99999999999989</v>
      </c>
      <c r="G20" s="696"/>
    </row>
    <row r="21" spans="1:7" x14ac:dyDescent="0.25">
      <c r="B21" s="688" t="s">
        <v>186</v>
      </c>
      <c r="C21" s="688"/>
      <c r="D21" s="688"/>
      <c r="E21" s="688"/>
      <c r="F21" s="688"/>
      <c r="G21" s="688"/>
    </row>
    <row r="22" spans="1:7" ht="30" x14ac:dyDescent="0.25">
      <c r="B22" s="384" t="s">
        <v>191</v>
      </c>
      <c r="C22" s="384" t="s">
        <v>207</v>
      </c>
      <c r="D22" s="385" t="s">
        <v>193</v>
      </c>
      <c r="E22" s="384" t="s">
        <v>188</v>
      </c>
      <c r="F22" s="384" t="s">
        <v>189</v>
      </c>
      <c r="G22" s="384" t="s">
        <v>190</v>
      </c>
    </row>
    <row r="23" spans="1:7" s="122" customFormat="1" x14ac:dyDescent="0.25">
      <c r="B23" s="394">
        <f>0.3*12</f>
        <v>3.5999999999999996</v>
      </c>
      <c r="C23" s="158">
        <v>22</v>
      </c>
      <c r="D23" s="394">
        <f>B23*C23</f>
        <v>79.199999999999989</v>
      </c>
      <c r="E23" s="158">
        <v>320</v>
      </c>
      <c r="F23" s="389">
        <f>E23*D23</f>
        <v>25343.999999999996</v>
      </c>
      <c r="G23" s="395">
        <f>F23</f>
        <v>25343.999999999996</v>
      </c>
    </row>
    <row r="24" spans="1:7" s="122" customFormat="1" x14ac:dyDescent="0.25"/>
    <row r="25" spans="1:7" s="122" customFormat="1" x14ac:dyDescent="0.25">
      <c r="B25" s="688" t="s">
        <v>244</v>
      </c>
      <c r="C25" s="688"/>
      <c r="D25" s="688"/>
      <c r="E25" s="688"/>
      <c r="F25" s="688"/>
      <c r="G25" s="688"/>
    </row>
    <row r="26" spans="1:7" s="122" customFormat="1" x14ac:dyDescent="0.25">
      <c r="B26" s="379" t="s">
        <v>200</v>
      </c>
      <c r="C26" s="377"/>
      <c r="D26" s="377"/>
      <c r="E26" s="377"/>
      <c r="F26" s="377"/>
      <c r="G26" s="377"/>
    </row>
    <row r="27" spans="1:7" s="122" customFormat="1" x14ac:dyDescent="0.25">
      <c r="B27" s="691" t="s">
        <v>209</v>
      </c>
      <c r="C27" s="691"/>
      <c r="D27" s="691"/>
      <c r="E27" s="691"/>
      <c r="F27" s="691"/>
      <c r="G27" s="691"/>
    </row>
    <row r="28" spans="1:7" s="122" customFormat="1" x14ac:dyDescent="0.25">
      <c r="B28" s="691" t="s">
        <v>208</v>
      </c>
      <c r="C28" s="691"/>
      <c r="D28" s="691"/>
      <c r="E28" s="691"/>
      <c r="F28" s="691"/>
      <c r="G28" s="691"/>
    </row>
    <row r="29" spans="1:7" s="122" customFormat="1" ht="30" x14ac:dyDescent="0.25">
      <c r="A29" s="385" t="s">
        <v>204</v>
      </c>
      <c r="B29" s="386" t="s">
        <v>203</v>
      </c>
      <c r="C29" s="386" t="s">
        <v>207</v>
      </c>
      <c r="D29" s="386" t="s">
        <v>202</v>
      </c>
      <c r="E29" s="384" t="s">
        <v>201</v>
      </c>
      <c r="F29" s="384" t="s">
        <v>189</v>
      </c>
      <c r="G29" s="384" t="s">
        <v>190</v>
      </c>
    </row>
    <row r="30" spans="1:7" x14ac:dyDescent="0.25">
      <c r="A30" s="390" t="s">
        <v>205</v>
      </c>
      <c r="B30" s="352">
        <f>2*(12000/150)</f>
        <v>160</v>
      </c>
      <c r="C30" s="391">
        <v>20</v>
      </c>
      <c r="D30" s="392">
        <f>1.58/1000*C30*B30</f>
        <v>5.0560000000000009</v>
      </c>
      <c r="E30" s="391">
        <v>130</v>
      </c>
      <c r="F30" s="389">
        <f>D30*E30</f>
        <v>657.28000000000009</v>
      </c>
      <c r="G30" s="692">
        <f>SUM(F30:F31)</f>
        <v>1380.288</v>
      </c>
    </row>
    <row r="31" spans="1:7" x14ac:dyDescent="0.25">
      <c r="A31" s="393" t="s">
        <v>206</v>
      </c>
      <c r="B31" s="352">
        <f>2*(22000/150)</f>
        <v>293.33333333333331</v>
      </c>
      <c r="C31" s="158">
        <v>12</v>
      </c>
      <c r="D31" s="392">
        <f>1.58/1000*C31*B31</f>
        <v>5.5616000000000003</v>
      </c>
      <c r="E31" s="391">
        <v>130</v>
      </c>
      <c r="F31" s="389">
        <f>D31*E31</f>
        <v>723.00800000000004</v>
      </c>
      <c r="G31" s="692"/>
    </row>
    <row r="32" spans="1:7" s="122" customFormat="1" x14ac:dyDescent="0.25">
      <c r="A32" s="1"/>
      <c r="B32" s="124"/>
      <c r="D32" s="380"/>
      <c r="E32" s="113"/>
      <c r="F32" s="371"/>
      <c r="G32" s="373"/>
    </row>
    <row r="33" spans="1:7" s="122" customFormat="1" x14ac:dyDescent="0.25">
      <c r="A33" s="1"/>
      <c r="B33" s="684" t="s">
        <v>196</v>
      </c>
      <c r="C33" s="684"/>
      <c r="D33" s="684"/>
      <c r="E33" s="684"/>
      <c r="F33" s="684"/>
      <c r="G33" s="684"/>
    </row>
    <row r="34" spans="1:7" s="122" customFormat="1" ht="14.45" customHeight="1" x14ac:dyDescent="0.25">
      <c r="A34" s="1"/>
      <c r="B34" s="689" t="s">
        <v>210</v>
      </c>
      <c r="C34" s="689"/>
      <c r="D34" s="689"/>
      <c r="E34" s="690" t="s">
        <v>226</v>
      </c>
      <c r="F34" s="690"/>
      <c r="G34" s="690"/>
    </row>
    <row r="35" spans="1:7" s="122" customFormat="1" x14ac:dyDescent="0.25">
      <c r="A35" s="1"/>
      <c r="B35" s="689" t="s">
        <v>227</v>
      </c>
      <c r="C35" s="689"/>
      <c r="D35" s="689"/>
      <c r="E35" s="690"/>
      <c r="F35" s="690"/>
      <c r="G35" s="690"/>
    </row>
    <row r="36" spans="1:7" s="122" customFormat="1" x14ac:dyDescent="0.25">
      <c r="A36" s="1"/>
      <c r="B36" s="691" t="s">
        <v>212</v>
      </c>
      <c r="C36" s="691"/>
      <c r="D36" s="691"/>
      <c r="E36" s="691"/>
      <c r="F36" s="691"/>
      <c r="G36" s="691"/>
    </row>
    <row r="37" spans="1:7" s="113" customFormat="1" ht="32.450000000000003" customHeight="1" x14ac:dyDescent="0.25">
      <c r="A37" s="376"/>
      <c r="B37" s="384" t="s">
        <v>191</v>
      </c>
      <c r="C37" s="384" t="s">
        <v>192</v>
      </c>
      <c r="D37" s="385" t="s">
        <v>193</v>
      </c>
      <c r="E37" s="386" t="s">
        <v>211</v>
      </c>
      <c r="F37" s="384" t="s">
        <v>189</v>
      </c>
      <c r="G37" s="384" t="s">
        <v>190</v>
      </c>
    </row>
    <row r="38" spans="1:7" s="113" customFormat="1" x14ac:dyDescent="0.25">
      <c r="A38" s="376"/>
      <c r="B38" s="387">
        <f>D7</f>
        <v>62.399999999999991</v>
      </c>
      <c r="C38" s="388">
        <f>4.6/2</f>
        <v>2.2999999999999998</v>
      </c>
      <c r="D38" s="387">
        <f>B38*C38</f>
        <v>143.51999999999998</v>
      </c>
      <c r="E38" s="388">
        <v>40</v>
      </c>
      <c r="F38" s="389">
        <f>E38*D38</f>
        <v>5740.7999999999993</v>
      </c>
      <c r="G38" s="693">
        <f>SUM(F38:F40)</f>
        <v>19468.799999999996</v>
      </c>
    </row>
    <row r="39" spans="1:7" s="113" customFormat="1" x14ac:dyDescent="0.25">
      <c r="A39" s="376"/>
      <c r="B39" s="387">
        <f>D7</f>
        <v>62.399999999999991</v>
      </c>
      <c r="C39" s="388">
        <f>4</f>
        <v>4</v>
      </c>
      <c r="D39" s="387">
        <f t="shared" ref="D39" si="2">B39*C39</f>
        <v>249.59999999999997</v>
      </c>
      <c r="E39" s="388">
        <v>40</v>
      </c>
      <c r="F39" s="389">
        <f t="shared" ref="F39" si="3">E39*D39</f>
        <v>9983.9999999999982</v>
      </c>
      <c r="G39" s="694"/>
    </row>
    <row r="40" spans="1:7" s="113" customFormat="1" x14ac:dyDescent="0.25">
      <c r="A40" s="376"/>
      <c r="B40" s="387">
        <f>D7</f>
        <v>62.399999999999991</v>
      </c>
      <c r="C40" s="388">
        <f>3/2</f>
        <v>1.5</v>
      </c>
      <c r="D40" s="387">
        <f t="shared" ref="D40" si="4">B40*C40</f>
        <v>93.6</v>
      </c>
      <c r="E40" s="388">
        <v>40</v>
      </c>
      <c r="F40" s="389">
        <f t="shared" ref="F40" si="5">E40*D40</f>
        <v>3744</v>
      </c>
      <c r="G40" s="695"/>
    </row>
    <row r="41" spans="1:7" s="113" customFormat="1" x14ac:dyDescent="0.25">
      <c r="A41" s="376"/>
      <c r="B41" s="378"/>
      <c r="C41" s="378"/>
      <c r="D41" s="378"/>
      <c r="E41" s="378"/>
      <c r="F41" s="378"/>
      <c r="G41" s="378"/>
    </row>
    <row r="42" spans="1:7" s="113" customFormat="1" x14ac:dyDescent="0.25">
      <c r="A42" s="376"/>
      <c r="B42" s="684" t="s">
        <v>222</v>
      </c>
      <c r="C42" s="684"/>
      <c r="D42" s="684"/>
      <c r="E42" s="684"/>
      <c r="F42" s="684"/>
      <c r="G42" s="684"/>
    </row>
    <row r="43" spans="1:7" s="113" customFormat="1" x14ac:dyDescent="0.25">
      <c r="A43" s="376"/>
      <c r="B43" s="375"/>
      <c r="C43" s="375"/>
      <c r="D43" s="375"/>
      <c r="E43" s="375"/>
      <c r="F43" s="375"/>
      <c r="G43" s="384" t="s">
        <v>190</v>
      </c>
    </row>
    <row r="44" spans="1:7" s="113" customFormat="1" x14ac:dyDescent="0.25">
      <c r="A44" s="376"/>
      <c r="B44" s="375"/>
      <c r="C44" s="375"/>
      <c r="D44" s="375"/>
      <c r="E44" s="375"/>
      <c r="F44" s="375"/>
      <c r="G44" s="395">
        <v>10000</v>
      </c>
    </row>
    <row r="45" spans="1:7" s="113" customFormat="1" x14ac:dyDescent="0.25">
      <c r="A45" s="376"/>
      <c r="B45" s="684" t="s">
        <v>245</v>
      </c>
      <c r="C45" s="684"/>
      <c r="D45" s="684"/>
      <c r="E45" s="684"/>
      <c r="F45" s="684"/>
      <c r="G45" s="684"/>
    </row>
    <row r="46" spans="1:7" s="113" customFormat="1" x14ac:dyDescent="0.25">
      <c r="A46" s="376"/>
      <c r="B46" s="375"/>
      <c r="C46" s="375"/>
      <c r="D46" s="375"/>
      <c r="E46" s="375"/>
      <c r="F46" s="375"/>
      <c r="G46" s="384" t="s">
        <v>190</v>
      </c>
    </row>
    <row r="47" spans="1:7" s="113" customFormat="1" x14ac:dyDescent="0.25">
      <c r="A47" s="376"/>
      <c r="B47" s="378"/>
      <c r="C47" s="378"/>
      <c r="D47" s="378"/>
      <c r="E47" s="378"/>
      <c r="F47" s="378"/>
      <c r="G47" s="395">
        <v>10000</v>
      </c>
    </row>
    <row r="48" spans="1:7" s="113" customFormat="1" x14ac:dyDescent="0.25">
      <c r="A48" s="376"/>
      <c r="B48" s="378"/>
      <c r="C48" s="378"/>
      <c r="D48" s="378"/>
      <c r="E48" s="378"/>
      <c r="F48" s="378"/>
      <c r="G48" s="378"/>
    </row>
    <row r="49" spans="1:35" s="113" customFormat="1" ht="25.35" customHeight="1" x14ac:dyDescent="0.25">
      <c r="A49" s="685" t="s">
        <v>213</v>
      </c>
      <c r="B49" s="685"/>
      <c r="C49" s="685"/>
      <c r="D49" s="406">
        <f>G7+G12+G18+G23+G30+G38+G44+G47</f>
        <v>175325.08799999996</v>
      </c>
      <c r="E49" s="408"/>
      <c r="F49" s="408"/>
      <c r="G49" s="378"/>
    </row>
    <row r="50" spans="1:35" s="122" customFormat="1" ht="14.45" customHeight="1" x14ac:dyDescent="0.25">
      <c r="A50" s="407"/>
      <c r="B50" s="407"/>
      <c r="C50" s="407"/>
      <c r="D50" s="408"/>
      <c r="E50" s="408"/>
      <c r="F50" s="408"/>
      <c r="G50" s="382"/>
      <c r="H50" s="113"/>
      <c r="I50" s="113"/>
      <c r="J50" s="113"/>
      <c r="K50" s="113"/>
      <c r="L50" s="113"/>
      <c r="M50" s="113"/>
      <c r="N50" s="113"/>
      <c r="O50" s="113"/>
      <c r="P50" s="113"/>
      <c r="Q50" s="113"/>
    </row>
    <row r="51" spans="1:35" ht="14.45" customHeight="1" x14ac:dyDescent="0.25">
      <c r="A51" s="407"/>
      <c r="B51" s="407"/>
      <c r="C51" s="407"/>
      <c r="D51" s="408"/>
      <c r="E51" s="408"/>
      <c r="F51" s="408"/>
      <c r="G51" s="113"/>
      <c r="H51" s="113"/>
      <c r="I51" s="113"/>
      <c r="J51" s="113"/>
      <c r="K51" s="113"/>
      <c r="L51" s="113"/>
      <c r="M51" s="113"/>
      <c r="N51" s="113"/>
      <c r="O51" s="113"/>
      <c r="P51" s="113"/>
      <c r="Q51" s="113"/>
    </row>
    <row r="52" spans="1:35" s="113" customFormat="1" x14ac:dyDescent="0.25"/>
    <row r="53" spans="1:35" s="122" customFormat="1" ht="33" customHeight="1" x14ac:dyDescent="0.25">
      <c r="A53" s="686" t="s">
        <v>219</v>
      </c>
      <c r="B53" s="687"/>
      <c r="C53" s="687"/>
      <c r="D53" s="687"/>
      <c r="E53" s="687"/>
      <c r="F53" s="687"/>
      <c r="G53" s="687"/>
      <c r="H53" s="687"/>
      <c r="I53" s="687"/>
      <c r="J53" s="687"/>
      <c r="K53" s="687"/>
      <c r="L53" s="687"/>
      <c r="M53" s="687"/>
      <c r="N53" s="687"/>
      <c r="O53" s="687"/>
      <c r="P53" s="687"/>
      <c r="Q53" s="687"/>
      <c r="R53" s="687"/>
      <c r="S53" s="687"/>
      <c r="T53" s="381"/>
      <c r="U53" s="381"/>
      <c r="V53" s="381"/>
      <c r="W53" s="381"/>
      <c r="X53" s="381"/>
      <c r="Y53" s="381"/>
      <c r="Z53" s="381"/>
      <c r="AA53" s="381"/>
      <c r="AB53" s="381"/>
      <c r="AC53" s="381"/>
      <c r="AD53" s="381"/>
      <c r="AE53" s="381"/>
      <c r="AF53" s="381"/>
      <c r="AG53" s="381"/>
      <c r="AH53" s="381"/>
      <c r="AI53" s="381"/>
    </row>
    <row r="56" spans="1:35" x14ac:dyDescent="0.25">
      <c r="B56" s="700"/>
      <c r="C56" s="700"/>
      <c r="D56" s="700"/>
      <c r="E56" s="700"/>
      <c r="F56" s="700"/>
      <c r="G56" s="700"/>
    </row>
    <row r="65" spans="2:7" x14ac:dyDescent="0.25">
      <c r="B65" s="684" t="s">
        <v>216</v>
      </c>
      <c r="C65" s="684"/>
      <c r="D65" s="684"/>
      <c r="E65" s="684"/>
      <c r="F65" s="684"/>
      <c r="G65" s="684"/>
    </row>
    <row r="67" spans="2:7" x14ac:dyDescent="0.25">
      <c r="B67" s="688" t="s">
        <v>182</v>
      </c>
      <c r="C67" s="688"/>
      <c r="D67" s="688"/>
      <c r="E67" s="688"/>
      <c r="F67" s="688"/>
      <c r="G67" s="688"/>
    </row>
    <row r="68" spans="2:7" ht="30" x14ac:dyDescent="0.25">
      <c r="B68" s="122"/>
      <c r="C68" s="384" t="s">
        <v>183</v>
      </c>
      <c r="D68" s="384" t="s">
        <v>191</v>
      </c>
      <c r="E68" s="384" t="s">
        <v>188</v>
      </c>
      <c r="F68" s="384" t="s">
        <v>189</v>
      </c>
      <c r="G68" s="384" t="s">
        <v>190</v>
      </c>
    </row>
    <row r="69" spans="2:7" x14ac:dyDescent="0.25">
      <c r="B69" s="122"/>
      <c r="C69" s="158" t="s">
        <v>217</v>
      </c>
      <c r="D69" s="394">
        <f>2*125</f>
        <v>250</v>
      </c>
      <c r="E69" s="158">
        <v>200</v>
      </c>
      <c r="F69" s="389">
        <f>D69*E69</f>
        <v>50000</v>
      </c>
      <c r="G69" s="696">
        <f>SUM(F69:F70)</f>
        <v>52000</v>
      </c>
    </row>
    <row r="70" spans="2:7" x14ac:dyDescent="0.25">
      <c r="B70" s="122"/>
      <c r="C70" s="158" t="s">
        <v>243</v>
      </c>
      <c r="D70" s="394">
        <v>10</v>
      </c>
      <c r="E70" s="158">
        <v>200</v>
      </c>
      <c r="F70" s="389">
        <f t="shared" ref="F70" si="6">D70*E70</f>
        <v>2000</v>
      </c>
      <c r="G70" s="696"/>
    </row>
    <row r="71" spans="2:7" x14ac:dyDescent="0.25">
      <c r="B71" s="645" t="s">
        <v>186</v>
      </c>
      <c r="C71" s="645"/>
      <c r="D71" s="645"/>
      <c r="E71" s="645"/>
      <c r="F71" s="645"/>
      <c r="G71" s="645"/>
    </row>
    <row r="72" spans="2:7" ht="30" x14ac:dyDescent="0.25">
      <c r="B72" s="384" t="s">
        <v>191</v>
      </c>
      <c r="C72" s="384" t="s">
        <v>199</v>
      </c>
      <c r="D72" s="385" t="s">
        <v>193</v>
      </c>
      <c r="E72" s="384" t="s">
        <v>188</v>
      </c>
      <c r="F72" s="384" t="s">
        <v>189</v>
      </c>
      <c r="G72" s="384" t="s">
        <v>190</v>
      </c>
    </row>
    <row r="73" spans="2:7" x14ac:dyDescent="0.25">
      <c r="B73" s="394">
        <f>(2*125)+(4*24)</f>
        <v>346</v>
      </c>
      <c r="C73" s="158">
        <v>0.3</v>
      </c>
      <c r="D73" s="394">
        <f>B73*C73</f>
        <v>103.8</v>
      </c>
      <c r="E73" s="158">
        <v>320</v>
      </c>
      <c r="F73" s="389">
        <f>E73*D73</f>
        <v>33216</v>
      </c>
      <c r="G73" s="395">
        <f>F73</f>
        <v>33216</v>
      </c>
    </row>
    <row r="76" spans="2:7" x14ac:dyDescent="0.25">
      <c r="B76" s="684" t="s">
        <v>196</v>
      </c>
      <c r="C76" s="684"/>
      <c r="D76" s="684"/>
      <c r="E76" s="684"/>
      <c r="F76" s="684"/>
      <c r="G76" s="684"/>
    </row>
    <row r="77" spans="2:7" ht="14.45" customHeight="1" x14ac:dyDescent="0.25">
      <c r="B77" s="689" t="s">
        <v>210</v>
      </c>
      <c r="C77" s="689"/>
      <c r="D77" s="689"/>
      <c r="E77" s="690" t="s">
        <v>226</v>
      </c>
      <c r="F77" s="690"/>
      <c r="G77" s="690"/>
    </row>
    <row r="78" spans="2:7" x14ac:dyDescent="0.25">
      <c r="B78" s="689" t="s">
        <v>227</v>
      </c>
      <c r="C78" s="689"/>
      <c r="D78" s="689"/>
      <c r="E78" s="690"/>
      <c r="F78" s="690"/>
      <c r="G78" s="690"/>
    </row>
    <row r="79" spans="2:7" x14ac:dyDescent="0.25">
      <c r="B79" s="691"/>
      <c r="C79" s="691"/>
      <c r="D79" s="691"/>
      <c r="E79" s="691"/>
      <c r="F79" s="691"/>
      <c r="G79" s="691"/>
    </row>
    <row r="80" spans="2:7" ht="30" x14ac:dyDescent="0.25">
      <c r="B80" s="384" t="s">
        <v>191</v>
      </c>
      <c r="C80" s="384" t="s">
        <v>207</v>
      </c>
      <c r="D80" s="385" t="s">
        <v>193</v>
      </c>
      <c r="E80" s="386" t="s">
        <v>211</v>
      </c>
      <c r="F80" s="404" t="s">
        <v>189</v>
      </c>
      <c r="G80" s="404" t="s">
        <v>190</v>
      </c>
    </row>
    <row r="81" spans="1:35" x14ac:dyDescent="0.25">
      <c r="A81" s="122" t="s">
        <v>184</v>
      </c>
      <c r="B81" s="399">
        <f>4/2</f>
        <v>2</v>
      </c>
      <c r="C81" s="400">
        <v>25</v>
      </c>
      <c r="D81" s="399">
        <f>B81*C81</f>
        <v>50</v>
      </c>
      <c r="E81" s="400">
        <v>40</v>
      </c>
      <c r="F81" s="389">
        <f>E81*D81</f>
        <v>2000</v>
      </c>
      <c r="G81" s="692">
        <f>SUM(F81:F82)</f>
        <v>4000</v>
      </c>
    </row>
    <row r="82" spans="1:35" x14ac:dyDescent="0.25">
      <c r="A82" s="122" t="s">
        <v>185</v>
      </c>
      <c r="B82" s="387">
        <f>4/2</f>
        <v>2</v>
      </c>
      <c r="C82" s="388">
        <v>25</v>
      </c>
      <c r="D82" s="387">
        <f>B82*C82</f>
        <v>50</v>
      </c>
      <c r="E82" s="388">
        <v>40</v>
      </c>
      <c r="F82" s="389">
        <f>E82*D82</f>
        <v>2000</v>
      </c>
      <c r="G82" s="692"/>
    </row>
    <row r="83" spans="1:35" x14ac:dyDescent="0.25">
      <c r="B83" s="401"/>
      <c r="C83" s="402"/>
      <c r="D83" s="401"/>
      <c r="E83" s="402"/>
      <c r="F83" s="403"/>
      <c r="G83" s="405"/>
    </row>
    <row r="86" spans="1:35" ht="15.75" thickBot="1" x14ac:dyDescent="0.3">
      <c r="E86" s="113"/>
      <c r="F86" s="113"/>
      <c r="G86" s="113"/>
      <c r="H86" s="113"/>
      <c r="I86" s="113"/>
      <c r="J86" s="113"/>
      <c r="K86" s="113"/>
      <c r="L86" s="113"/>
      <c r="M86" s="113"/>
      <c r="N86" s="113"/>
      <c r="O86" s="113"/>
      <c r="P86" s="113"/>
      <c r="Q86" s="113"/>
    </row>
    <row r="87" spans="1:35" ht="23.1" customHeight="1" thickBot="1" x14ac:dyDescent="0.3">
      <c r="A87" s="697" t="s">
        <v>218</v>
      </c>
      <c r="B87" s="698"/>
      <c r="C87" s="698"/>
      <c r="D87" s="409">
        <f>G69+G73+G81</f>
        <v>89216</v>
      </c>
      <c r="E87" s="408"/>
      <c r="F87" s="408"/>
      <c r="G87" s="378"/>
      <c r="H87" s="113"/>
      <c r="I87" s="113"/>
      <c r="J87" s="113"/>
      <c r="K87" s="113"/>
      <c r="L87" s="113"/>
      <c r="M87" s="113"/>
      <c r="N87" s="113"/>
      <c r="O87" s="113"/>
      <c r="P87" s="113"/>
      <c r="Q87" s="113"/>
    </row>
    <row r="88" spans="1:35" ht="14.45" customHeight="1" x14ac:dyDescent="0.25">
      <c r="A88" s="407"/>
      <c r="B88" s="407"/>
      <c r="C88" s="407"/>
      <c r="D88" s="408"/>
      <c r="E88" s="408"/>
      <c r="F88" s="408"/>
      <c r="G88" s="382"/>
      <c r="H88" s="113"/>
      <c r="I88" s="113"/>
      <c r="J88" s="113"/>
      <c r="K88" s="113"/>
      <c r="L88" s="113"/>
      <c r="M88" s="113"/>
      <c r="N88" s="113"/>
      <c r="O88" s="113"/>
      <c r="P88" s="113"/>
      <c r="Q88" s="113"/>
    </row>
    <row r="89" spans="1:35" ht="14.45" customHeight="1" x14ac:dyDescent="0.25">
      <c r="A89" s="407"/>
      <c r="B89" s="407"/>
      <c r="C89" s="407"/>
      <c r="D89" s="408"/>
      <c r="E89" s="408"/>
      <c r="F89" s="408"/>
      <c r="G89" s="113"/>
      <c r="H89" s="113"/>
      <c r="I89" s="113"/>
      <c r="J89" s="113"/>
      <c r="K89" s="113"/>
      <c r="L89" s="113"/>
      <c r="M89" s="113"/>
      <c r="N89" s="113"/>
      <c r="O89" s="113"/>
      <c r="P89" s="113"/>
      <c r="Q89" s="113"/>
    </row>
    <row r="92" spans="1:35" ht="32.450000000000003" customHeight="1" x14ac:dyDescent="0.25">
      <c r="A92" s="686" t="s">
        <v>232</v>
      </c>
      <c r="B92" s="687"/>
      <c r="C92" s="687"/>
      <c r="D92" s="687"/>
      <c r="E92" s="687"/>
      <c r="F92" s="687"/>
      <c r="G92" s="687"/>
      <c r="H92" s="687"/>
      <c r="I92" s="687"/>
      <c r="J92" s="687"/>
      <c r="K92" s="687"/>
      <c r="L92" s="687"/>
      <c r="M92" s="687"/>
      <c r="N92" s="687"/>
      <c r="O92" s="687"/>
      <c r="P92" s="687"/>
      <c r="Q92" s="687"/>
      <c r="R92" s="687"/>
      <c r="S92" s="687"/>
      <c r="T92" s="381"/>
      <c r="U92" s="381"/>
      <c r="V92" s="381"/>
      <c r="W92" s="381"/>
      <c r="X92" s="381"/>
      <c r="Y92" s="381"/>
      <c r="Z92" s="381"/>
      <c r="AA92" s="381"/>
      <c r="AB92" s="381"/>
      <c r="AC92" s="381"/>
      <c r="AD92" s="381"/>
      <c r="AE92" s="381"/>
      <c r="AF92" s="381"/>
      <c r="AG92" s="381"/>
      <c r="AH92" s="381"/>
      <c r="AI92" s="381"/>
    </row>
    <row r="96" spans="1:35" x14ac:dyDescent="0.25">
      <c r="B96" s="684" t="s">
        <v>233</v>
      </c>
      <c r="C96" s="684"/>
      <c r="D96" s="684"/>
      <c r="E96" s="684"/>
      <c r="F96" s="684"/>
      <c r="G96" s="684"/>
      <c r="I96" s="684" t="s">
        <v>233</v>
      </c>
      <c r="J96" s="684"/>
      <c r="K96" s="684"/>
      <c r="L96" s="684"/>
      <c r="M96" s="684"/>
      <c r="N96" s="684"/>
    </row>
    <row r="97" spans="1:14" s="113" customFormat="1" x14ac:dyDescent="0.25">
      <c r="B97" s="383" t="s">
        <v>241</v>
      </c>
      <c r="C97" s="383"/>
      <c r="D97" s="383"/>
      <c r="E97" s="375"/>
      <c r="F97" s="375"/>
      <c r="G97" s="375"/>
      <c r="I97" s="383" t="s">
        <v>276</v>
      </c>
      <c r="J97" s="383"/>
      <c r="K97" s="383"/>
      <c r="L97" s="464"/>
      <c r="M97" s="464"/>
      <c r="N97" s="464"/>
    </row>
    <row r="98" spans="1:14" x14ac:dyDescent="0.25">
      <c r="B98" s="410" t="s">
        <v>224</v>
      </c>
      <c r="C98" s="122"/>
      <c r="D98" s="122"/>
      <c r="E98" s="122"/>
      <c r="F98" s="122"/>
      <c r="G98" s="122"/>
      <c r="I98" s="410" t="s">
        <v>224</v>
      </c>
    </row>
    <row r="99" spans="1:14" x14ac:dyDescent="0.25">
      <c r="B99" s="688" t="s">
        <v>182</v>
      </c>
      <c r="C99" s="688"/>
      <c r="D99" s="688"/>
      <c r="E99" s="688"/>
      <c r="F99" s="688"/>
      <c r="G99" s="688"/>
      <c r="I99" s="645" t="s">
        <v>182</v>
      </c>
      <c r="J99" s="645"/>
      <c r="K99" s="645"/>
      <c r="L99" s="645"/>
      <c r="M99" s="645"/>
      <c r="N99" s="645"/>
    </row>
    <row r="100" spans="1:14" ht="45" x14ac:dyDescent="0.25">
      <c r="B100" s="384" t="s">
        <v>229</v>
      </c>
      <c r="C100" s="384" t="s">
        <v>207</v>
      </c>
      <c r="D100" s="384" t="s">
        <v>234</v>
      </c>
      <c r="E100" s="384" t="s">
        <v>188</v>
      </c>
      <c r="F100" s="384" t="s">
        <v>189</v>
      </c>
      <c r="G100" s="384" t="s">
        <v>190</v>
      </c>
      <c r="I100" s="384" t="s">
        <v>229</v>
      </c>
      <c r="J100" s="384" t="s">
        <v>207</v>
      </c>
      <c r="K100" s="384" t="s">
        <v>234</v>
      </c>
      <c r="L100" s="384" t="s">
        <v>188</v>
      </c>
      <c r="M100" s="384" t="s">
        <v>189</v>
      </c>
      <c r="N100" s="384" t="s">
        <v>190</v>
      </c>
    </row>
    <row r="101" spans="1:14" x14ac:dyDescent="0.25">
      <c r="A101" s="122" t="s">
        <v>230</v>
      </c>
      <c r="B101" s="158">
        <v>2</v>
      </c>
      <c r="C101" s="158">
        <v>468</v>
      </c>
      <c r="D101" s="394">
        <f>B101*C101</f>
        <v>936</v>
      </c>
      <c r="E101" s="158">
        <v>200</v>
      </c>
      <c r="F101" s="389">
        <f>D101*E101</f>
        <v>187200</v>
      </c>
      <c r="G101" s="696">
        <f>SUM(F101:F104)</f>
        <v>374400</v>
      </c>
      <c r="I101" s="158">
        <v>1.5</v>
      </c>
      <c r="J101" s="158">
        <v>468</v>
      </c>
      <c r="K101" s="394">
        <f>I101*J101</f>
        <v>702</v>
      </c>
      <c r="L101" s="158">
        <v>200</v>
      </c>
      <c r="M101" s="389">
        <f>K101*L101</f>
        <v>140400</v>
      </c>
      <c r="N101" s="696">
        <f>SUM(M101:M104)</f>
        <v>280800</v>
      </c>
    </row>
    <row r="102" spans="1:14" x14ac:dyDescent="0.25">
      <c r="A102" s="122" t="s">
        <v>231</v>
      </c>
      <c r="B102" s="158">
        <v>2</v>
      </c>
      <c r="C102" s="158">
        <f>C101</f>
        <v>468</v>
      </c>
      <c r="D102" s="394">
        <f>B102*C102</f>
        <v>936</v>
      </c>
      <c r="E102" s="158">
        <v>200</v>
      </c>
      <c r="F102" s="389">
        <f>D102*E102</f>
        <v>187200</v>
      </c>
      <c r="G102" s="696"/>
      <c r="I102" s="158">
        <v>1.5</v>
      </c>
      <c r="J102" s="158">
        <f>J101</f>
        <v>468</v>
      </c>
      <c r="K102" s="394">
        <f>I102*J102</f>
        <v>702</v>
      </c>
      <c r="L102" s="158">
        <v>200</v>
      </c>
      <c r="M102" s="389">
        <f>K102*L102</f>
        <v>140400</v>
      </c>
      <c r="N102" s="696"/>
    </row>
    <row r="103" spans="1:14" x14ac:dyDescent="0.25">
      <c r="B103" s="122"/>
      <c r="C103" s="14"/>
      <c r="D103" s="415"/>
      <c r="E103" s="14"/>
      <c r="F103" s="403"/>
      <c r="G103" s="699"/>
      <c r="J103" s="14"/>
      <c r="K103" s="415"/>
      <c r="L103" s="14"/>
      <c r="M103" s="403"/>
      <c r="N103" s="699"/>
    </row>
    <row r="104" spans="1:14" x14ac:dyDescent="0.25">
      <c r="B104" s="122"/>
      <c r="C104" s="14"/>
      <c r="D104" s="415"/>
      <c r="E104" s="14"/>
      <c r="F104" s="403"/>
      <c r="G104" s="699"/>
      <c r="J104" s="14"/>
      <c r="K104" s="415"/>
      <c r="L104" s="14"/>
      <c r="M104" s="403"/>
      <c r="N104" s="699"/>
    </row>
    <row r="105" spans="1:14" x14ac:dyDescent="0.25">
      <c r="B105" s="645" t="s">
        <v>186</v>
      </c>
      <c r="C105" s="645"/>
      <c r="D105" s="645"/>
      <c r="E105" s="645"/>
      <c r="F105" s="645"/>
      <c r="G105" s="645"/>
      <c r="I105" s="645" t="s">
        <v>186</v>
      </c>
      <c r="J105" s="645"/>
      <c r="K105" s="645"/>
      <c r="L105" s="645"/>
      <c r="M105" s="645"/>
      <c r="N105" s="645"/>
    </row>
    <row r="106" spans="1:14" ht="30" x14ac:dyDescent="0.25">
      <c r="B106" s="384" t="s">
        <v>191</v>
      </c>
      <c r="C106" s="384" t="s">
        <v>207</v>
      </c>
      <c r="D106" s="385" t="s">
        <v>193</v>
      </c>
      <c r="E106" s="384" t="s">
        <v>188</v>
      </c>
      <c r="F106" s="384" t="s">
        <v>189</v>
      </c>
      <c r="G106" s="384" t="s">
        <v>190</v>
      </c>
      <c r="I106" s="384" t="s">
        <v>191</v>
      </c>
      <c r="J106" s="384" t="s">
        <v>207</v>
      </c>
      <c r="K106" s="385" t="s">
        <v>193</v>
      </c>
      <c r="L106" s="384" t="s">
        <v>188</v>
      </c>
      <c r="M106" s="384" t="s">
        <v>189</v>
      </c>
      <c r="N106" s="384" t="s">
        <v>190</v>
      </c>
    </row>
    <row r="107" spans="1:14" x14ac:dyDescent="0.25">
      <c r="B107" s="352">
        <f>0.3*1.5+0.4*1.5</f>
        <v>1.05</v>
      </c>
      <c r="C107" s="158">
        <f>C101</f>
        <v>468</v>
      </c>
      <c r="D107" s="394">
        <f>B107*C107</f>
        <v>491.40000000000003</v>
      </c>
      <c r="E107" s="158">
        <v>320</v>
      </c>
      <c r="F107" s="389">
        <f>E107*D107</f>
        <v>157248</v>
      </c>
      <c r="G107" s="395">
        <f>F107</f>
        <v>157248</v>
      </c>
      <c r="I107" s="352">
        <f>0.3*1+0.4*1.5</f>
        <v>0.90000000000000013</v>
      </c>
      <c r="J107" s="158">
        <f>J101</f>
        <v>468</v>
      </c>
      <c r="K107" s="394">
        <f>I107*J107</f>
        <v>421.20000000000005</v>
      </c>
      <c r="L107" s="158">
        <v>320</v>
      </c>
      <c r="M107" s="389">
        <f>L107*K107</f>
        <v>134784</v>
      </c>
      <c r="N107" s="395">
        <f>M107</f>
        <v>134784</v>
      </c>
    </row>
    <row r="109" spans="1:14" s="122" customFormat="1" x14ac:dyDescent="0.25">
      <c r="B109" s="684" t="s">
        <v>221</v>
      </c>
      <c r="C109" s="684"/>
      <c r="D109" s="684"/>
      <c r="E109" s="684"/>
      <c r="F109" s="684"/>
      <c r="G109" s="684"/>
    </row>
    <row r="110" spans="1:14" s="113" customFormat="1" x14ac:dyDescent="0.25">
      <c r="B110" s="383" t="s">
        <v>242</v>
      </c>
      <c r="C110" s="383"/>
      <c r="D110" s="383"/>
      <c r="E110" s="375"/>
      <c r="F110" s="375"/>
      <c r="G110" s="375"/>
      <c r="I110" s="122"/>
      <c r="J110" s="122"/>
      <c r="K110" s="122"/>
      <c r="L110" s="122"/>
      <c r="M110" s="122"/>
      <c r="N110" s="122"/>
    </row>
    <row r="111" spans="1:14" s="122" customFormat="1" x14ac:dyDescent="0.25">
      <c r="B111" s="410" t="s">
        <v>225</v>
      </c>
    </row>
    <row r="112" spans="1:14" s="122" customFormat="1" x14ac:dyDescent="0.25">
      <c r="B112" s="645" t="s">
        <v>182</v>
      </c>
      <c r="C112" s="645"/>
      <c r="D112" s="645"/>
      <c r="E112" s="645"/>
      <c r="F112" s="645"/>
      <c r="G112" s="645"/>
    </row>
    <row r="113" spans="1:23" s="122" customFormat="1" ht="30" x14ac:dyDescent="0.25">
      <c r="B113" s="384" t="s">
        <v>229</v>
      </c>
      <c r="C113" s="384" t="s">
        <v>207</v>
      </c>
      <c r="D113" s="384" t="s">
        <v>187</v>
      </c>
      <c r="E113" s="384" t="s">
        <v>188</v>
      </c>
      <c r="F113" s="384" t="s">
        <v>189</v>
      </c>
      <c r="G113" s="384" t="s">
        <v>190</v>
      </c>
    </row>
    <row r="114" spans="1:23" s="122" customFormat="1" x14ac:dyDescent="0.25">
      <c r="A114" s="122" t="s">
        <v>230</v>
      </c>
      <c r="B114" s="158">
        <v>2.2999999999999998</v>
      </c>
      <c r="C114" s="158">
        <v>140</v>
      </c>
      <c r="D114" s="394">
        <f>B114*C114</f>
        <v>322</v>
      </c>
      <c r="E114" s="158">
        <v>200</v>
      </c>
      <c r="F114" s="416">
        <f>D114*E114</f>
        <v>64400</v>
      </c>
      <c r="G114" s="696">
        <f>SUM(F114:F117)</f>
        <v>128800</v>
      </c>
    </row>
    <row r="115" spans="1:23" s="122" customFormat="1" x14ac:dyDescent="0.25">
      <c r="A115" s="122" t="s">
        <v>231</v>
      </c>
      <c r="B115" s="158">
        <v>2.2999999999999998</v>
      </c>
      <c r="C115" s="158">
        <f>C114</f>
        <v>140</v>
      </c>
      <c r="D115" s="394">
        <f>B115*C115</f>
        <v>322</v>
      </c>
      <c r="E115" s="158">
        <v>200</v>
      </c>
      <c r="F115" s="416">
        <f t="shared" ref="F115" si="7">D115*E115</f>
        <v>64400</v>
      </c>
      <c r="G115" s="696"/>
    </row>
    <row r="116" spans="1:23" s="122" customFormat="1" x14ac:dyDescent="0.25">
      <c r="C116" s="14"/>
      <c r="D116" s="415"/>
      <c r="E116" s="14"/>
      <c r="F116" s="403"/>
      <c r="G116" s="696"/>
    </row>
    <row r="117" spans="1:23" s="122" customFormat="1" x14ac:dyDescent="0.25">
      <c r="C117" s="14"/>
      <c r="D117" s="415"/>
      <c r="E117" s="14"/>
      <c r="F117" s="403"/>
      <c r="G117" s="696"/>
    </row>
    <row r="118" spans="1:23" s="122" customFormat="1" x14ac:dyDescent="0.25">
      <c r="B118" s="645" t="s">
        <v>186</v>
      </c>
      <c r="C118" s="645"/>
      <c r="D118" s="645"/>
      <c r="E118" s="645"/>
      <c r="F118" s="645"/>
      <c r="G118" s="645"/>
    </row>
    <row r="119" spans="1:23" s="122" customFormat="1" ht="30" x14ac:dyDescent="0.25">
      <c r="B119" s="384" t="s">
        <v>191</v>
      </c>
      <c r="C119" s="384" t="s">
        <v>207</v>
      </c>
      <c r="D119" s="385" t="s">
        <v>193</v>
      </c>
      <c r="E119" s="384" t="s">
        <v>188</v>
      </c>
      <c r="F119" s="384" t="s">
        <v>189</v>
      </c>
      <c r="G119" s="384" t="s">
        <v>190</v>
      </c>
    </row>
    <row r="120" spans="1:23" s="122" customFormat="1" x14ac:dyDescent="0.25">
      <c r="B120" s="352">
        <f>1.8*0.3+1.5*0.4</f>
        <v>1.1400000000000001</v>
      </c>
      <c r="C120" s="158">
        <f>C114</f>
        <v>140</v>
      </c>
      <c r="D120" s="394">
        <f>B120*C120</f>
        <v>159.60000000000002</v>
      </c>
      <c r="E120" s="158">
        <v>320</v>
      </c>
      <c r="F120" s="389">
        <f>E120*D120</f>
        <v>51072.000000000007</v>
      </c>
      <c r="G120" s="395">
        <f>F120</f>
        <v>51072.000000000007</v>
      </c>
    </row>
    <row r="122" spans="1:23" x14ac:dyDescent="0.25">
      <c r="T122" s="122"/>
      <c r="U122" s="122"/>
      <c r="V122" s="122"/>
      <c r="W122" s="122"/>
    </row>
    <row r="123" spans="1:23" x14ac:dyDescent="0.25">
      <c r="B123" s="684" t="s">
        <v>196</v>
      </c>
      <c r="C123" s="684"/>
      <c r="D123" s="684"/>
      <c r="E123" s="684"/>
      <c r="F123" s="684"/>
      <c r="G123" s="684"/>
      <c r="P123" s="462" t="s">
        <v>255</v>
      </c>
      <c r="Q123" s="462"/>
      <c r="R123" s="122"/>
      <c r="S123" s="122"/>
      <c r="T123" s="122"/>
      <c r="U123" s="122"/>
    </row>
    <row r="124" spans="1:23" ht="30" x14ac:dyDescent="0.25">
      <c r="B124" s="689" t="s">
        <v>210</v>
      </c>
      <c r="C124" s="689"/>
      <c r="D124" s="689"/>
      <c r="E124" s="690" t="s">
        <v>226</v>
      </c>
      <c r="F124" s="690"/>
      <c r="G124" s="690"/>
      <c r="P124" s="384" t="s">
        <v>256</v>
      </c>
      <c r="Q124" s="384" t="s">
        <v>189</v>
      </c>
      <c r="R124" s="122"/>
      <c r="S124" s="122"/>
      <c r="T124" s="122"/>
      <c r="U124" s="122"/>
    </row>
    <row r="125" spans="1:23" x14ac:dyDescent="0.25">
      <c r="B125" s="689" t="s">
        <v>227</v>
      </c>
      <c r="C125" s="689"/>
      <c r="D125" s="689"/>
      <c r="E125" s="690"/>
      <c r="F125" s="690"/>
      <c r="G125" s="690"/>
      <c r="P125" s="153">
        <v>185</v>
      </c>
      <c r="Q125" s="444">
        <f>P125*575</f>
        <v>106375</v>
      </c>
      <c r="R125" s="122"/>
      <c r="S125" t="s">
        <v>275</v>
      </c>
      <c r="T125" s="122"/>
      <c r="U125" s="122"/>
    </row>
    <row r="126" spans="1:23" ht="29.1" customHeight="1" x14ac:dyDescent="0.25">
      <c r="B126" s="701" t="s">
        <v>228</v>
      </c>
      <c r="C126" s="701"/>
      <c r="D126" s="701"/>
      <c r="E126" s="701"/>
      <c r="F126" s="701"/>
      <c r="G126" s="701"/>
      <c r="P126" s="153">
        <v>185</v>
      </c>
      <c r="Q126" s="444">
        <f>(P126*575)/2</f>
        <v>53187.5</v>
      </c>
      <c r="S126" t="s">
        <v>274</v>
      </c>
    </row>
    <row r="127" spans="1:23" ht="30" x14ac:dyDescent="0.25">
      <c r="B127" s="384" t="s">
        <v>191</v>
      </c>
      <c r="C127" s="384" t="s">
        <v>207</v>
      </c>
      <c r="D127" s="385" t="s">
        <v>193</v>
      </c>
      <c r="E127" s="386" t="s">
        <v>211</v>
      </c>
      <c r="F127" s="404" t="s">
        <v>189</v>
      </c>
      <c r="G127" s="404" t="s">
        <v>190</v>
      </c>
      <c r="P127"/>
    </row>
    <row r="128" spans="1:23" x14ac:dyDescent="0.25">
      <c r="B128" s="414">
        <f>2.45*0.4</f>
        <v>0.98000000000000009</v>
      </c>
      <c r="C128" s="388">
        <v>600</v>
      </c>
      <c r="D128" s="387">
        <f>B128*C128</f>
        <v>588</v>
      </c>
      <c r="E128" s="388">
        <v>40</v>
      </c>
      <c r="F128" s="389">
        <f>E128*D128</f>
        <v>23520</v>
      </c>
      <c r="G128" s="395">
        <f>F128</f>
        <v>23520</v>
      </c>
      <c r="Q128" s="122"/>
    </row>
    <row r="129" spans="1:27" x14ac:dyDescent="0.25">
      <c r="B129" s="401"/>
      <c r="C129" s="402"/>
      <c r="D129" s="401"/>
      <c r="E129" s="402"/>
      <c r="F129" s="412"/>
      <c r="G129" s="413"/>
      <c r="Q129" s="122"/>
    </row>
    <row r="130" spans="1:27" x14ac:dyDescent="0.25">
      <c r="P130" s="153">
        <v>2000</v>
      </c>
      <c r="Q130" s="444">
        <f>P130*(C101+C114)/2</f>
        <v>608000</v>
      </c>
      <c r="S130" s="122" t="s">
        <v>279</v>
      </c>
    </row>
    <row r="131" spans="1:27" s="122" customFormat="1" x14ac:dyDescent="0.25">
      <c r="B131" s="684" t="s">
        <v>235</v>
      </c>
      <c r="C131" s="684"/>
      <c r="D131" s="684"/>
      <c r="E131" s="684"/>
      <c r="F131" s="684"/>
      <c r="G131" s="684"/>
    </row>
    <row r="132" spans="1:27" s="122" customFormat="1" x14ac:dyDescent="0.25">
      <c r="B132" s="383" t="s">
        <v>237</v>
      </c>
      <c r="C132" s="383"/>
      <c r="D132" s="383"/>
      <c r="E132" s="417"/>
      <c r="F132" s="417"/>
      <c r="G132" s="417"/>
      <c r="P132" s="462" t="s">
        <v>264</v>
      </c>
      <c r="Q132" s="462"/>
    </row>
    <row r="133" spans="1:27" s="122" customFormat="1" ht="30" x14ac:dyDescent="0.25">
      <c r="B133" s="420" t="s">
        <v>236</v>
      </c>
      <c r="C133" s="420"/>
      <c r="D133" s="420"/>
      <c r="E133" s="417"/>
      <c r="F133" s="417"/>
      <c r="G133" s="417"/>
      <c r="P133" s="384" t="s">
        <v>253</v>
      </c>
      <c r="Q133" s="384" t="s">
        <v>189</v>
      </c>
    </row>
    <row r="134" spans="1:27" s="122" customFormat="1" x14ac:dyDescent="0.25">
      <c r="B134" s="646"/>
      <c r="C134" s="646"/>
      <c r="D134" s="646"/>
      <c r="E134" s="646"/>
      <c r="F134" s="646"/>
      <c r="G134" s="646"/>
      <c r="P134" s="153">
        <v>2000</v>
      </c>
      <c r="Q134" s="444">
        <f>P134*(C102)/2</f>
        <v>468000</v>
      </c>
      <c r="S134" s="122" t="s">
        <v>281</v>
      </c>
    </row>
    <row r="135" spans="1:27" s="122" customFormat="1" ht="30" x14ac:dyDescent="0.25">
      <c r="B135" s="418"/>
      <c r="C135" s="14"/>
      <c r="D135" s="384" t="s">
        <v>207</v>
      </c>
      <c r="E135" s="386" t="s">
        <v>211</v>
      </c>
      <c r="F135" s="404" t="s">
        <v>189</v>
      </c>
      <c r="G135" s="404" t="s">
        <v>190</v>
      </c>
      <c r="P135" s="153">
        <v>1000</v>
      </c>
      <c r="Q135" s="444">
        <f>P135*(C102)/2</f>
        <v>234000</v>
      </c>
      <c r="S135" s="122" t="s">
        <v>282</v>
      </c>
    </row>
    <row r="136" spans="1:27" s="122" customFormat="1" x14ac:dyDescent="0.25">
      <c r="B136" s="419"/>
      <c r="C136" s="14"/>
      <c r="D136" s="388">
        <v>50</v>
      </c>
      <c r="E136" s="388">
        <v>1000</v>
      </c>
      <c r="F136" s="389">
        <f>E136*D136</f>
        <v>50000</v>
      </c>
      <c r="G136" s="395">
        <f>F136</f>
        <v>50000</v>
      </c>
    </row>
    <row r="137" spans="1:27" s="122" customFormat="1" x14ac:dyDescent="0.25"/>
    <row r="138" spans="1:27" s="122" customFormat="1" ht="15.75" thickBot="1" x14ac:dyDescent="0.3"/>
    <row r="139" spans="1:27" ht="21.75" thickBot="1" x14ac:dyDescent="0.3">
      <c r="A139" s="697" t="s">
        <v>238</v>
      </c>
      <c r="B139" s="698"/>
      <c r="C139" s="698"/>
      <c r="D139" s="409">
        <f>G101+G107+G114+G120+G128+G136</f>
        <v>785040</v>
      </c>
      <c r="E139" t="s">
        <v>278</v>
      </c>
      <c r="N139" s="466" t="s">
        <v>270</v>
      </c>
      <c r="S139" s="467">
        <v>185</v>
      </c>
      <c r="Y139" t="s">
        <v>272</v>
      </c>
      <c r="AA139" t="s">
        <v>273</v>
      </c>
    </row>
    <row r="140" spans="1:27" ht="15.75" thickBot="1" x14ac:dyDescent="0.3">
      <c r="G140" s="302"/>
      <c r="N140" s="466"/>
    </row>
    <row r="141" spans="1:27" ht="21.75" thickBot="1" x14ac:dyDescent="0.3">
      <c r="A141" s="697" t="s">
        <v>265</v>
      </c>
      <c r="B141" s="698"/>
      <c r="C141" s="698"/>
      <c r="D141" s="409">
        <f>(G101+G107+G114+G120+G128+G136+Q125+Q130)-(G101+G107+G114+G120)/2</f>
        <v>1143655</v>
      </c>
      <c r="E141" t="s">
        <v>279</v>
      </c>
      <c r="N141" s="466" t="s">
        <v>271</v>
      </c>
      <c r="W141" s="467">
        <v>234000</v>
      </c>
    </row>
    <row r="142" spans="1:27" x14ac:dyDescent="0.25">
      <c r="F142" s="463"/>
    </row>
    <row r="143" spans="1:27" x14ac:dyDescent="0.25">
      <c r="D143" s="463">
        <f>(G101+G107)/2+Q125+Q126+(N101+N107)/2+G114+G120</f>
        <v>813050.5</v>
      </c>
      <c r="E143" t="s">
        <v>266</v>
      </c>
      <c r="F143" s="463"/>
    </row>
    <row r="144" spans="1:27" x14ac:dyDescent="0.25">
      <c r="D144" s="97">
        <f>Q135</f>
        <v>234000</v>
      </c>
      <c r="E144" t="s">
        <v>267</v>
      </c>
    </row>
    <row r="145" spans="4:7" x14ac:dyDescent="0.25">
      <c r="D145" s="463">
        <f>G136</f>
        <v>50000</v>
      </c>
      <c r="E145" t="s">
        <v>268</v>
      </c>
    </row>
    <row r="146" spans="4:7" x14ac:dyDescent="0.25">
      <c r="D146" s="463">
        <f>G128</f>
        <v>23520</v>
      </c>
      <c r="E146" t="s">
        <v>269</v>
      </c>
    </row>
    <row r="147" spans="4:7" x14ac:dyDescent="0.25">
      <c r="D147" s="465">
        <f>SUM(D143:D146)</f>
        <v>1120570.5</v>
      </c>
      <c r="E147" t="s">
        <v>277</v>
      </c>
      <c r="G147" t="s">
        <v>280</v>
      </c>
    </row>
  </sheetData>
  <mergeCells count="50">
    <mergeCell ref="B109:G109"/>
    <mergeCell ref="G101:G104"/>
    <mergeCell ref="G114:G117"/>
    <mergeCell ref="B123:G123"/>
    <mergeCell ref="B124:D124"/>
    <mergeCell ref="E124:G125"/>
    <mergeCell ref="B125:D125"/>
    <mergeCell ref="A141:C141"/>
    <mergeCell ref="B131:G131"/>
    <mergeCell ref="B126:G126"/>
    <mergeCell ref="A139:C139"/>
    <mergeCell ref="B42:G42"/>
    <mergeCell ref="B79:G79"/>
    <mergeCell ref="G81:G82"/>
    <mergeCell ref="I96:N96"/>
    <mergeCell ref="A87:C87"/>
    <mergeCell ref="B96:G96"/>
    <mergeCell ref="A92:S92"/>
    <mergeCell ref="B99:G99"/>
    <mergeCell ref="N101:N104"/>
    <mergeCell ref="A53:S53"/>
    <mergeCell ref="B56:G56"/>
    <mergeCell ref="B65:G65"/>
    <mergeCell ref="B67:G67"/>
    <mergeCell ref="G69:G70"/>
    <mergeCell ref="B76:G76"/>
    <mergeCell ref="B77:D77"/>
    <mergeCell ref="E77:G78"/>
    <mergeCell ref="B78:D78"/>
    <mergeCell ref="B35:D35"/>
    <mergeCell ref="B36:G36"/>
    <mergeCell ref="G38:G40"/>
    <mergeCell ref="G7:G9"/>
    <mergeCell ref="G18:G20"/>
    <mergeCell ref="B45:G45"/>
    <mergeCell ref="A49:C49"/>
    <mergeCell ref="A1:S1"/>
    <mergeCell ref="B3:G3"/>
    <mergeCell ref="B14:G14"/>
    <mergeCell ref="B10:G10"/>
    <mergeCell ref="B34:D34"/>
    <mergeCell ref="E34:G35"/>
    <mergeCell ref="B28:G28"/>
    <mergeCell ref="B27:G27"/>
    <mergeCell ref="G30:G31"/>
    <mergeCell ref="B33:G33"/>
    <mergeCell ref="B16:G16"/>
    <mergeCell ref="B21:G21"/>
    <mergeCell ref="B25:G25"/>
    <mergeCell ref="B5:G5"/>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Future cost, inflation and risk</vt:lpstr>
      <vt:lpstr>Construction Costs_2022</vt:lpstr>
      <vt:lpstr>OBC Cost _Van Oord 2022</vt:lpstr>
      <vt:lpstr>OpAp PV Costs</vt:lpstr>
      <vt:lpstr>OBC PV Costs</vt:lpstr>
      <vt:lpstr>Preferred OBC PV</vt:lpstr>
      <vt:lpstr>Contributions</vt:lpstr>
      <vt:lpstr>Programme</vt:lpstr>
      <vt:lpstr>Construction costing wall </vt:lpstr>
      <vt:lpstr>update wall Feb21</vt:lpstr>
      <vt:lpstr>Re-nourishment-Recycling rates</vt:lpstr>
      <vt:lpstr>Short Rock Volumes</vt:lpstr>
      <vt:lpstr>Long Rock Volumes</vt:lpstr>
    </vt:vector>
  </TitlesOfParts>
  <Company>Royal Haskoning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Naomi Doble</dc:creator>
  <cp:lastModifiedBy>Vicky Pyle</cp:lastModifiedBy>
  <cp:lastPrinted>2018-04-12T08:57:03Z</cp:lastPrinted>
  <dcterms:created xsi:type="dcterms:W3CDTF">2017-11-30T14:27:11Z</dcterms:created>
  <dcterms:modified xsi:type="dcterms:W3CDTF">2024-03-28T10:43:33Z</dcterms:modified>
</cp:coreProperties>
</file>